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040" windowHeight="1015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5" r:id="rId12"/>
    <sheet name="13" sheetId="12" r:id="rId13"/>
    <sheet name="14" sheetId="13" r:id="rId14"/>
    <sheet name="15" sheetId="14" r:id="rId15"/>
  </sheets>
  <calcPr calcId="145621" refMode="R1C1"/>
</workbook>
</file>

<file path=xl/calcChain.xml><?xml version="1.0" encoding="utf-8"?>
<calcChain xmlns="http://schemas.openxmlformats.org/spreadsheetml/2006/main">
  <c r="B14" i="15" l="1"/>
  <c r="B7" i="15"/>
  <c r="B15" i="13" l="1"/>
  <c r="B20" i="12"/>
  <c r="B6" i="12"/>
  <c r="G11" i="7" l="1"/>
  <c r="C13" i="12" s="1"/>
  <c r="B7" i="13" s="1"/>
  <c r="G12" i="8"/>
  <c r="F12" i="8"/>
  <c r="E4" i="6"/>
  <c r="C12" i="7"/>
  <c r="G5" i="7"/>
  <c r="B13" i="9"/>
  <c r="F12" i="7"/>
  <c r="C26" i="12"/>
  <c r="B26" i="12"/>
  <c r="B14" i="12"/>
  <c r="B15" i="12" s="1"/>
  <c r="C21" i="12"/>
  <c r="C20" i="12"/>
  <c r="E5" i="11" l="1"/>
  <c r="B9" i="14" l="1"/>
  <c r="B13" i="14"/>
  <c r="B14" i="14" s="1"/>
  <c r="B17" i="10"/>
  <c r="C12" i="8"/>
  <c r="G4" i="6"/>
  <c r="F9" i="8"/>
  <c r="E9" i="8"/>
  <c r="C9" i="8"/>
  <c r="D9" i="8"/>
  <c r="D10" i="8"/>
  <c r="G8" i="8"/>
  <c r="D7" i="8"/>
  <c r="E7" i="8"/>
  <c r="D12" i="7"/>
  <c r="E12" i="7"/>
  <c r="E5" i="7"/>
  <c r="F11" i="5"/>
  <c r="G12" i="7" l="1"/>
  <c r="G9" i="8"/>
  <c r="C15" i="1" l="1"/>
  <c r="D15" i="1"/>
  <c r="E15" i="1"/>
  <c r="H15" i="1"/>
  <c r="B15" i="1"/>
  <c r="G7" i="7"/>
  <c r="G6" i="7"/>
  <c r="C23" i="12"/>
  <c r="B23" i="12"/>
  <c r="D8" i="8"/>
  <c r="E8" i="8"/>
  <c r="F8" i="8"/>
  <c r="C8" i="8"/>
  <c r="C5" i="7"/>
  <c r="D5" i="7"/>
  <c r="B5" i="7"/>
  <c r="B14" i="13" l="1"/>
  <c r="C6" i="7"/>
  <c r="C4" i="6"/>
  <c r="E7" i="5"/>
  <c r="D7" i="5"/>
  <c r="C7" i="5"/>
  <c r="D5" i="5"/>
  <c r="C5" i="5"/>
  <c r="D9" i="5" s="1"/>
  <c r="B5" i="5"/>
  <c r="H7" i="3"/>
  <c r="B7" i="4"/>
  <c r="E8" i="1" l="1"/>
  <c r="E7" i="1"/>
  <c r="D8" i="1"/>
  <c r="D7" i="1"/>
  <c r="C8" i="1"/>
  <c r="C7" i="1"/>
  <c r="B8" i="1"/>
  <c r="B7" i="1"/>
  <c r="B4" i="7"/>
  <c r="E9" i="3"/>
  <c r="C5" i="11" l="1"/>
  <c r="D17" i="10"/>
  <c r="G8" i="1" l="1"/>
  <c r="C12" i="12"/>
  <c r="E16" i="10"/>
  <c r="C4" i="7" l="1"/>
  <c r="D4" i="7"/>
  <c r="E4" i="7"/>
  <c r="G5" i="3"/>
  <c r="G7" i="4" s="1"/>
  <c r="H8" i="1"/>
  <c r="H7" i="1"/>
  <c r="B6" i="2"/>
  <c r="B26" i="14" l="1"/>
  <c r="B17" i="14"/>
  <c r="B18" i="14" s="1"/>
  <c r="B12" i="14"/>
  <c r="B29" i="13"/>
  <c r="B19" i="13"/>
  <c r="B20" i="13" s="1"/>
  <c r="D5" i="11"/>
  <c r="B5" i="11"/>
  <c r="B7" i="11" s="1"/>
  <c r="F16" i="10"/>
  <c r="C17" i="10"/>
  <c r="E17" i="10"/>
  <c r="F14" i="10"/>
  <c r="B23" i="13" s="1"/>
  <c r="F15" i="10"/>
  <c r="F9" i="10"/>
  <c r="D11" i="8"/>
  <c r="E11" i="8"/>
  <c r="F11" i="8"/>
  <c r="C11" i="8"/>
  <c r="C8" i="7"/>
  <c r="D8" i="7"/>
  <c r="E8" i="7"/>
  <c r="E10" i="8" s="1"/>
  <c r="G9" i="7"/>
  <c r="B10" i="9" s="1"/>
  <c r="G10" i="7"/>
  <c r="B10" i="15" s="1"/>
  <c r="G3" i="7"/>
  <c r="C5" i="3"/>
  <c r="D5" i="3"/>
  <c r="E5" i="3"/>
  <c r="B5" i="3"/>
  <c r="B4" i="2"/>
  <c r="C4" i="2"/>
  <c r="D4" i="2"/>
  <c r="E4" i="2"/>
  <c r="D6" i="2"/>
  <c r="E6" i="2"/>
  <c r="C14" i="12" l="1"/>
  <c r="B12" i="9"/>
  <c r="B22" i="14"/>
  <c r="F4" i="11"/>
  <c r="F7" i="4"/>
  <c r="F5" i="5" s="1"/>
  <c r="E7" i="4"/>
  <c r="E5" i="5" s="1"/>
  <c r="F9" i="5" s="1"/>
  <c r="D7" i="4"/>
  <c r="E9" i="5" s="1"/>
  <c r="C10" i="8"/>
  <c r="B24" i="13"/>
  <c r="B25" i="13" s="1"/>
  <c r="B21" i="14"/>
  <c r="B11" i="15"/>
  <c r="G5" i="5"/>
  <c r="G11" i="5" s="1"/>
  <c r="D14" i="4"/>
  <c r="C8" i="12" s="1"/>
  <c r="F17" i="10"/>
  <c r="D12" i="8"/>
  <c r="C8" i="10" s="1"/>
  <c r="E12" i="8"/>
  <c r="D8" i="10" s="1"/>
  <c r="B9" i="9"/>
  <c r="C9" i="12"/>
  <c r="B10" i="13" s="1"/>
  <c r="F5" i="11"/>
  <c r="B15" i="15" s="1"/>
  <c r="G11" i="8"/>
  <c r="B10" i="14" s="1"/>
  <c r="F7" i="5"/>
  <c r="G7" i="5"/>
  <c r="D8" i="2"/>
  <c r="D5" i="10" s="1"/>
  <c r="C6" i="2"/>
  <c r="F6" i="2" s="1"/>
  <c r="B8" i="2"/>
  <c r="E8" i="2"/>
  <c r="E5" i="10" s="1"/>
  <c r="F4" i="2"/>
  <c r="G9" i="5" l="1"/>
  <c r="F17" i="5"/>
  <c r="B23" i="14"/>
  <c r="C9" i="5"/>
  <c r="D7" i="11"/>
  <c r="E7" i="11" s="1"/>
  <c r="C7" i="11"/>
  <c r="E7" i="6"/>
  <c r="C7" i="4"/>
  <c r="B5" i="10"/>
  <c r="F5" i="6"/>
  <c r="G4" i="8"/>
  <c r="C7" i="8"/>
  <c r="C8" i="2"/>
  <c r="F8" i="2" s="1"/>
  <c r="D10" i="2" s="1"/>
  <c r="E11" i="5"/>
  <c r="H7" i="5"/>
  <c r="C15" i="12" l="1"/>
  <c r="F7" i="6"/>
  <c r="G6" i="8"/>
  <c r="B5" i="9"/>
  <c r="B8" i="12"/>
  <c r="B5" i="15"/>
  <c r="D7" i="6"/>
  <c r="E5" i="6"/>
  <c r="D7" i="10" s="1"/>
  <c r="F7" i="8"/>
  <c r="B8" i="10"/>
  <c r="B5" i="14"/>
  <c r="C5" i="10"/>
  <c r="F5" i="10" s="1"/>
  <c r="E11" i="6" l="1"/>
  <c r="C19" i="12" s="1"/>
  <c r="C25" i="12" s="1"/>
  <c r="F4" i="6"/>
  <c r="E7" i="10" s="1"/>
  <c r="B10" i="12"/>
  <c r="B16" i="12" s="1"/>
  <c r="B9" i="13"/>
  <c r="D11" i="5"/>
  <c r="H11" i="5" s="1"/>
  <c r="F13" i="5" s="1"/>
  <c r="D10" i="10"/>
  <c r="D12" i="10" s="1"/>
  <c r="G7" i="8"/>
  <c r="B7" i="14" s="1"/>
  <c r="D5" i="6" l="1"/>
  <c r="D4" i="6" s="1"/>
  <c r="C7" i="10" s="1"/>
  <c r="C10" i="10" s="1"/>
  <c r="C12" i="10" s="1"/>
  <c r="C7" i="6"/>
  <c r="G7" i="6" s="1"/>
  <c r="B7" i="6"/>
  <c r="C5" i="6"/>
  <c r="B19" i="12" l="1"/>
  <c r="B25" i="12" s="1"/>
  <c r="B27" i="12" s="1"/>
  <c r="G5" i="6"/>
  <c r="B7" i="10" l="1"/>
  <c r="B11" i="13"/>
  <c r="B10" i="10" l="1"/>
  <c r="F7" i="10"/>
  <c r="B6" i="14"/>
  <c r="F9" i="6"/>
  <c r="B19" i="10" l="1"/>
  <c r="C4" i="10"/>
  <c r="C19" i="10" s="1"/>
  <c r="D4" i="10" s="1"/>
  <c r="D19" i="10" s="1"/>
  <c r="E4" i="10" s="1"/>
  <c r="B12" i="10"/>
  <c r="G4" i="7"/>
  <c r="F5" i="3"/>
  <c r="H5" i="3" s="1"/>
  <c r="G8" i="7"/>
  <c r="B4" i="9"/>
  <c r="B6" i="9"/>
  <c r="F5" i="7"/>
  <c r="E13" i="7" s="1"/>
  <c r="D12" i="2"/>
  <c r="C7" i="12" s="1"/>
  <c r="B8" i="13" s="1"/>
  <c r="G6" i="1"/>
  <c r="B4" i="15"/>
  <c r="B6" i="15" s="1"/>
  <c r="B8" i="9" l="1"/>
  <c r="B11" i="9"/>
  <c r="B12" i="15"/>
  <c r="G7" i="1"/>
  <c r="G15" i="1" s="1"/>
  <c r="F10" i="8"/>
  <c r="B12" i="13"/>
  <c r="B8" i="15"/>
  <c r="B16" i="15" s="1"/>
  <c r="B18" i="15" s="1"/>
  <c r="E10" i="1"/>
  <c r="F15" i="1"/>
  <c r="B7" i="9" l="1"/>
  <c r="B14" i="9" s="1"/>
  <c r="G10" i="8"/>
  <c r="B11" i="14" s="1"/>
  <c r="B25" i="14" s="1"/>
  <c r="D13" i="8" l="1"/>
  <c r="E8" i="10"/>
  <c r="B13" i="13"/>
  <c r="B5" i="13"/>
  <c r="B16" i="13" s="1"/>
  <c r="B27" i="13" l="1"/>
  <c r="C27" i="12"/>
  <c r="E10" i="10"/>
  <c r="F8" i="10"/>
  <c r="E12" i="10" l="1"/>
  <c r="E19" i="10" s="1"/>
  <c r="F10" i="10"/>
  <c r="C6" i="12" l="1"/>
  <c r="C10" i="12" s="1"/>
  <c r="C16" i="12" s="1"/>
  <c r="B28" i="13"/>
  <c r="B27" i="14"/>
</calcChain>
</file>

<file path=xl/sharedStrings.xml><?xml version="1.0" encoding="utf-8"?>
<sst xmlns="http://schemas.openxmlformats.org/spreadsheetml/2006/main" count="262" uniqueCount="179">
  <si>
    <t xml:space="preserve">ЗАДАНИЕ </t>
  </si>
  <si>
    <t>Составление операционного бюджета.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</si>
  <si>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 xml:space="preserve">Бюджет доходов от реализации товаров </t>
    </r>
  </si>
  <si>
    <t>(доходы компании признаются по отгрузке).</t>
  </si>
  <si>
    <t>Доходы</t>
  </si>
  <si>
    <t>Март</t>
  </si>
  <si>
    <t>Апрель</t>
  </si>
  <si>
    <t>Май</t>
  </si>
  <si>
    <t>Июнь</t>
  </si>
  <si>
    <t>Июль</t>
  </si>
  <si>
    <t>Итого апрель- июль</t>
  </si>
  <si>
    <t>в кредит</t>
  </si>
  <si>
    <t>за наличные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</si>
  <si>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Бюджет поступления денежных средств.</t>
    </r>
  </si>
  <si>
    <t>Поступление денежных средств</t>
  </si>
  <si>
    <t>Продажи за наличные текущего месяца</t>
  </si>
  <si>
    <t>Поступления от продаж в кредит</t>
  </si>
  <si>
    <t>Всего поступлений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</si>
  <si>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Бюджет себестоимости реализованных товаров.</t>
    </r>
  </si>
  <si>
    <t>Август</t>
  </si>
  <si>
    <t>Итого Апрель –июль</t>
  </si>
  <si>
    <t>Доход от реализации</t>
  </si>
  <si>
    <t>Себестоимость реализации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</si>
  <si>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Бюджет планируемого уровня запасов на конец периода.</t>
    </r>
  </si>
  <si>
    <t>Постоянные запасы</t>
  </si>
  <si>
    <t>Переменные запасы</t>
  </si>
  <si>
    <t>Запасы на конец периода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</si>
  <si>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Бюджет закупок товаров.</t>
    </r>
  </si>
  <si>
    <t>Расчет закупок:</t>
  </si>
  <si>
    <t>Себестоимость реализованной продукции</t>
  </si>
  <si>
    <t>Запасы на начало периода</t>
  </si>
  <si>
    <t>Объем закупок</t>
  </si>
  <si>
    <r>
      <t>6.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Бюджет оплаты  счетов поставщиков товаров.</t>
    </r>
  </si>
  <si>
    <t>Оплата счетов за товары</t>
  </si>
  <si>
    <t>Итого апрель-июль</t>
  </si>
  <si>
    <t>Всего оплата закупок, в т.ч.</t>
  </si>
  <si>
    <r>
      <t>7.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Бюджет операционных расходов.</t>
    </r>
  </si>
  <si>
    <t>Итого апр-июль</t>
  </si>
  <si>
    <t>Заработная плата постоянная</t>
  </si>
  <si>
    <t>Итого заработная плата</t>
  </si>
  <si>
    <t>Разные расходы (5% реализации)</t>
  </si>
  <si>
    <t>Арендная плата</t>
  </si>
  <si>
    <t>Амортизация</t>
  </si>
  <si>
    <t>Всего расходов</t>
  </si>
  <si>
    <r>
      <t>8.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Бюджет денежных выплат для покрытия операционных расходов.</t>
    </r>
  </si>
  <si>
    <t>(таблица заполняется на основе таблицы № 7 задания, и пункта № 6 исходных данных)</t>
  </si>
  <si>
    <t>Оплата операционных расходов</t>
  </si>
  <si>
    <r>
      <t>9.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Подготовить прогнозируемый отчет о прибылях  и убытках</t>
    </r>
    <r>
      <rPr>
        <sz val="11"/>
        <color theme="1"/>
        <rFont val="Calibri"/>
        <family val="2"/>
        <charset val="204"/>
        <scheme val="minor"/>
      </rPr>
      <t>.</t>
    </r>
  </si>
  <si>
    <t>Реализация товаров</t>
  </si>
  <si>
    <t>Себестоимость реализованных товаров</t>
  </si>
  <si>
    <t>Валовая прибыль</t>
  </si>
  <si>
    <t>Операционные расходы:</t>
  </si>
  <si>
    <t>Заработная плата</t>
  </si>
  <si>
    <t>Другие расходы</t>
  </si>
  <si>
    <t>Операционная прибыль</t>
  </si>
  <si>
    <t>Проценты за кредит</t>
  </si>
  <si>
    <t>Прибыль до налогообложения</t>
  </si>
  <si>
    <t>Налог на прибыль (начисленный)</t>
  </si>
  <si>
    <t>Чистая прибыль</t>
  </si>
  <si>
    <r>
      <t>Составление финансового бюджета</t>
    </r>
    <r>
      <rPr>
        <i/>
        <u/>
        <sz val="11"/>
        <color rgb="FF333399"/>
        <rFont val="Calibri"/>
        <family val="2"/>
        <charset val="204"/>
        <scheme val="minor"/>
      </rPr>
      <t>.</t>
    </r>
  </si>
  <si>
    <r>
      <t>10.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Подготовить бюджет денежных средств</t>
    </r>
    <r>
      <rPr>
        <sz val="11"/>
        <color theme="1"/>
        <rFont val="Calibri"/>
        <family val="2"/>
        <charset val="204"/>
        <scheme val="minor"/>
      </rPr>
      <t>.</t>
    </r>
  </si>
  <si>
    <t>1. Сальдо денежных средств на начало месяца</t>
  </si>
  <si>
    <t>2. Поступления денежных средств от продажи товаров</t>
  </si>
  <si>
    <t>Выплаты:</t>
  </si>
  <si>
    <t>Оплата закупок товаров</t>
  </si>
  <si>
    <t>Покупка основных средств</t>
  </si>
  <si>
    <t>3.Всего выплат</t>
  </si>
  <si>
    <t>4.Минимальное сальдо денежных средств</t>
  </si>
  <si>
    <t>5.Превышение/недостаток денежных средств (1+2-3-4)</t>
  </si>
  <si>
    <t>6.Финансирование (банковский кредит, проценты, выплаты):</t>
  </si>
  <si>
    <t>7.Получение кредита</t>
  </si>
  <si>
    <t>8.Ваплата кредита</t>
  </si>
  <si>
    <t>9.Выплата процентов по кредиту</t>
  </si>
  <si>
    <t>10.Поступление /Выплата денежных средств в результате финансирования (7-8-9)</t>
  </si>
  <si>
    <t>11. Сальдо на конец периода (1+2-3+/-10)</t>
  </si>
  <si>
    <r>
      <t>11.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Вспомогательная информация:</t>
    </r>
  </si>
  <si>
    <t>Размер кредита на начало месяца (7 – сумма (8))</t>
  </si>
  <si>
    <t>Проценты за кредит начисленные</t>
  </si>
  <si>
    <t>Проценты за кредит выданные</t>
  </si>
  <si>
    <t>Задолженность по процентам за кредит</t>
  </si>
  <si>
    <r>
      <t>12.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Внести изменения в бюджет отчета о прибылях и убытках</t>
    </r>
    <r>
      <rPr>
        <sz val="11"/>
        <color theme="1"/>
        <rFont val="Calibri"/>
        <family val="2"/>
        <charset val="204"/>
        <scheme val="minor"/>
      </rPr>
      <t xml:space="preserve"> ( пункт 9) с учетом  начисленных процентов. Рассчитать начисленный налог на прибыль. Рассчитать чистую прибыль за период   с апреля по июль.</t>
    </r>
  </si>
  <si>
    <r>
      <t>13.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Составить прогноз баланса.</t>
    </r>
  </si>
  <si>
    <t>Активы</t>
  </si>
  <si>
    <t>Оборотные активы:</t>
  </si>
  <si>
    <t>Денежные средства</t>
  </si>
  <si>
    <t>Дебиторская задолженность</t>
  </si>
  <si>
    <t>Запасы товаров</t>
  </si>
  <si>
    <t>Итого оборотные активы</t>
  </si>
  <si>
    <t>Долгосрочные активы:</t>
  </si>
  <si>
    <t>Оборудование</t>
  </si>
  <si>
    <t>Минус амортизация</t>
  </si>
  <si>
    <t>Остаточная стоимость</t>
  </si>
  <si>
    <t>Итого долгосрочные активы</t>
  </si>
  <si>
    <t>ИТОГО АКТИВЫ</t>
  </si>
  <si>
    <t>ОБЯЗАТЕЛЬСТВА</t>
  </si>
  <si>
    <t>Текущие обязательства</t>
  </si>
  <si>
    <t>Задолженность поставщикам</t>
  </si>
  <si>
    <t>Расчеты по заработной плате</t>
  </si>
  <si>
    <t>Задолженность перед бюджетом по налогу на Прибыль</t>
  </si>
  <si>
    <t>Итого обязательства:</t>
  </si>
  <si>
    <t>СОБСТВЕННЫЙ КАПИТАЛ</t>
  </si>
  <si>
    <t xml:space="preserve">ИТОГО ОБЯЗАТЕЛЬСТВА И СОБСТВЕННЫЙ </t>
  </si>
  <si>
    <t>КАПИТАЛ</t>
  </si>
  <si>
    <r>
      <t>14.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 xml:space="preserve">Составить Отчет о движении денежных средств косвенным методом. </t>
    </r>
  </si>
  <si>
    <t>Движение денежных средств от операционной деятельности:</t>
  </si>
  <si>
    <t>Корректировки:</t>
  </si>
  <si>
    <t>Расходы на амортизацию</t>
  </si>
  <si>
    <t>Изменения дебиторской задолженности</t>
  </si>
  <si>
    <t>Изменения готовой продукции</t>
  </si>
  <si>
    <t>Изменение авансовых взносов по страховке</t>
  </si>
  <si>
    <t>Изменение кредиторской задолженности</t>
  </si>
  <si>
    <t>Изменение расчетов по заработной плате</t>
  </si>
  <si>
    <t>Изменение по налогу на прибыль</t>
  </si>
  <si>
    <t>Чистая сумма денежных средств от операционной деятельности</t>
  </si>
  <si>
    <t>Движение денежных средств по инвестиционной деятельности:</t>
  </si>
  <si>
    <t>Денежные средства, выплаченные за покупку грузовика</t>
  </si>
  <si>
    <t>Чистая сумма денежных средств от инвестиционной деятельности</t>
  </si>
  <si>
    <t>Движение денежных средств от финансовой деятельности:</t>
  </si>
  <si>
    <t>Получение краткосрочного кредита</t>
  </si>
  <si>
    <t>Погашение краткосрочного кредита</t>
  </si>
  <si>
    <t>Чистая сумма денежных средств, используемая в финансовой деятельности</t>
  </si>
  <si>
    <t>Чистая сумма увеличения или уменьшения денежных средств</t>
  </si>
  <si>
    <r>
      <t>15.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Составить отчет о движении денежных средств прямым методом.</t>
    </r>
  </si>
  <si>
    <t>Поступление от реализации товаров</t>
  </si>
  <si>
    <t>Выплаты за товары</t>
  </si>
  <si>
    <t>Выплаты по заработной плате</t>
  </si>
  <si>
    <t>Выплаты по страховке</t>
  </si>
  <si>
    <t>Выплаты по арендной плате</t>
  </si>
  <si>
    <t>Выплаты по другим статьям расходов</t>
  </si>
  <si>
    <t>Выплаты по процентам за кредит</t>
  </si>
  <si>
    <t>Выплаты по налогу на прибыль</t>
  </si>
  <si>
    <t>Движение денежных средств от инвестиционной деятельности</t>
  </si>
  <si>
    <t>Движение денежных средств от финансирования</t>
  </si>
  <si>
    <t>выплата 50% заработной платы предыдущего месяца</t>
  </si>
  <si>
    <t>выплата 50% заработной платы текущего месяца</t>
  </si>
  <si>
    <t>Итого выплата заработной платы</t>
  </si>
  <si>
    <t>Разные (прочие) расходы</t>
  </si>
  <si>
    <t>Всего оплачено операционных расходов</t>
  </si>
  <si>
    <t>Х</t>
  </si>
  <si>
    <t>Доход от реализации (в рублях)</t>
  </si>
  <si>
    <t>август</t>
  </si>
  <si>
    <t>(руб)</t>
  </si>
  <si>
    <t>Объем закупок товаров с апреля по июль составит ____________________   рублей.</t>
  </si>
  <si>
    <t>Февраль</t>
  </si>
  <si>
    <t>70 % закупок предыдущего месяца</t>
  </si>
  <si>
    <t>30 % закупок текущего месяца</t>
  </si>
  <si>
    <t>Лицензии</t>
  </si>
  <si>
    <t>Всего операционные расходы (с апреля по июль) на сумму ________________  рублей.</t>
  </si>
  <si>
    <t>Комиссионные вознаграждения     (19% реализации)</t>
  </si>
  <si>
    <t>Аренда</t>
  </si>
  <si>
    <t>Всего оплачено счетов за товары (с апреля по июль) на сумму _________ рублей.</t>
  </si>
  <si>
    <t>Остаток задолженности поставщикам составил _____________________ рублей.</t>
  </si>
  <si>
    <t xml:space="preserve">Авансовые  взносы по лицензиям </t>
  </si>
  <si>
    <t>Всего доход от реализации с апреля по июль составляет _________________рублей.</t>
  </si>
  <si>
    <t>Всего поступлений денежных средств с апреля по июль __________________ рублей.</t>
  </si>
  <si>
    <t>Остаток дебиторской задолженности на конец июля ____________________ рублей.</t>
  </si>
  <si>
    <t>Себестоимость реализованных товаров  с апреля по июль ___________ рублей.</t>
  </si>
  <si>
    <t>Запасы товаров на конец июля  составили ___________________________ рублей.</t>
  </si>
  <si>
    <t>Оплата операционных расходов составила _____________________  рублей.</t>
  </si>
  <si>
    <t xml:space="preserve">На данном этапе бюджетирования может быть рассчитана только Операционная прибыль. </t>
  </si>
  <si>
    <t>Остальные строки Отчета заполняются после подготовки Бюджета денежных средств.</t>
  </si>
  <si>
    <t>Прогнозируемый отчет о прибылях и убытках компании Укроп за период апрель –июль 2022 года.</t>
  </si>
  <si>
    <t xml:space="preserve">Прогнозируемый баланс компании Укроп на 31 июля 2022 года. </t>
  </si>
  <si>
    <t>31 марта 2022 года</t>
  </si>
  <si>
    <t>31 июля 2022 года</t>
  </si>
  <si>
    <t>Прогнозируемый отчет о движении денежных средств компании Укроп на 31 июля 2022г.</t>
  </si>
  <si>
    <t>Сальдо денежных средств на 31 марта 2022 года</t>
  </si>
  <si>
    <t>Сальдо денежных средств на 31 июля 2022 года</t>
  </si>
  <si>
    <t>Прогнозируемый отчет о движении денежных средств компании Укроп на 31 июля 2022 г.</t>
  </si>
  <si>
    <t>НДФЛ</t>
  </si>
  <si>
    <t>Оплата НДФЛ</t>
  </si>
  <si>
    <t xml:space="preserve">Налоги с заработной платы </t>
  </si>
  <si>
    <t>Оплата налогов с зарплаты</t>
  </si>
  <si>
    <t xml:space="preserve">Задолженность перед бюджетом по НДФЛ </t>
  </si>
  <si>
    <t>Задолженность перед бюджетом по налогам с зарплаты</t>
  </si>
  <si>
    <t xml:space="preserve">Налоги с зарплаты </t>
  </si>
  <si>
    <t>Оплата налога на прибыль</t>
  </si>
  <si>
    <t>Выплаты по налогам с зарплаты</t>
  </si>
  <si>
    <t xml:space="preserve">Задолженность по кредиту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</si>
</sst>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0000FF"/>
      <name val="Calibri"/>
      <family val="2"/>
      <charset val="204"/>
      <scheme val="minor"/>
    </font>
    <font>
      <i/>
      <u/>
      <sz val="11"/>
      <color rgb="FF0000FF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u/>
      <sz val="11"/>
      <color rgb="FF333399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8"/>
      <name val="Arial"/>
      <family val="2"/>
    </font>
    <font>
      <sz val="9"/>
      <name val="Arial"/>
    </font>
    <font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113">
    <xf numFmtId="0" fontId="0" fillId="0" borderId="0" xfId="0"/>
    <xf numFmtId="0" fontId="2" fillId="0" borderId="0" xfId="0" applyFont="1" applyAlignment="1">
      <alignment horizontal="left" indent="6"/>
    </xf>
    <xf numFmtId="0" fontId="2" fillId="0" borderId="0" xfId="0" applyFont="1" applyAlignment="1">
      <alignment horizontal="left" indent="4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0" fillId="0" borderId="3" xfId="0" applyBorder="1" applyAlignment="1">
      <alignment horizontal="right" vertical="top" wrapText="1"/>
    </xf>
    <xf numFmtId="0" fontId="8" fillId="0" borderId="0" xfId="0" applyFont="1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6" fillId="0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3" fontId="0" fillId="0" borderId="0" xfId="0" applyNumberFormat="1" applyFill="1"/>
    <xf numFmtId="0" fontId="12" fillId="0" borderId="0" xfId="0" applyFont="1"/>
    <xf numFmtId="0" fontId="12" fillId="0" borderId="4" xfId="0" applyFont="1" applyBorder="1" applyAlignment="1">
      <alignment vertical="top" wrapText="1"/>
    </xf>
    <xf numFmtId="0" fontId="12" fillId="0" borderId="0" xfId="0" applyFont="1" applyFill="1"/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3" fontId="11" fillId="0" borderId="4" xfId="0" applyNumberFormat="1" applyFont="1" applyBorder="1" applyAlignment="1">
      <alignment vertical="top" wrapText="1"/>
    </xf>
    <xf numFmtId="164" fontId="11" fillId="0" borderId="4" xfId="1" applyNumberFormat="1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164" fontId="13" fillId="0" borderId="4" xfId="1" applyNumberFormat="1" applyFont="1" applyFill="1" applyBorder="1" applyAlignment="1">
      <alignment vertical="top" wrapText="1"/>
    </xf>
    <xf numFmtId="3" fontId="11" fillId="0" borderId="4" xfId="0" applyNumberFormat="1" applyFont="1" applyFill="1" applyBorder="1" applyAlignment="1">
      <alignment vertical="top" wrapText="1"/>
    </xf>
    <xf numFmtId="164" fontId="11" fillId="0" borderId="4" xfId="0" applyNumberFormat="1" applyFont="1" applyFill="1" applyBorder="1" applyAlignment="1">
      <alignment vertical="top" wrapText="1"/>
    </xf>
    <xf numFmtId="0" fontId="13" fillId="0" borderId="4" xfId="0" applyFont="1" applyFill="1" applyBorder="1" applyAlignment="1">
      <alignment horizontal="center" vertical="top" wrapText="1"/>
    </xf>
    <xf numFmtId="3" fontId="14" fillId="0" borderId="4" xfId="0" applyNumberFormat="1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164" fontId="11" fillId="0" borderId="7" xfId="1" applyNumberFormat="1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164" fontId="15" fillId="0" borderId="7" xfId="1" applyNumberFormat="1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164" fontId="15" fillId="0" borderId="7" xfId="0" applyNumberFormat="1" applyFont="1" applyBorder="1" applyAlignment="1">
      <alignment vertical="top" wrapText="1"/>
    </xf>
    <xf numFmtId="3" fontId="15" fillId="0" borderId="7" xfId="0" applyNumberFormat="1" applyFont="1" applyBorder="1" applyAlignment="1">
      <alignment vertical="top" wrapText="1"/>
    </xf>
    <xf numFmtId="3" fontId="11" fillId="0" borderId="7" xfId="0" applyNumberFormat="1" applyFont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165" fontId="14" fillId="0" borderId="4" xfId="0" applyNumberFormat="1" applyFont="1" applyFill="1" applyBorder="1" applyAlignment="1">
      <alignment vertical="top" wrapText="1"/>
    </xf>
    <xf numFmtId="3" fontId="13" fillId="0" borderId="4" xfId="0" applyNumberFormat="1" applyFont="1" applyFill="1" applyBorder="1" applyAlignment="1">
      <alignment vertical="top" wrapText="1"/>
    </xf>
    <xf numFmtId="0" fontId="0" fillId="0" borderId="3" xfId="0" applyFill="1" applyBorder="1" applyAlignment="1">
      <alignment horizontal="right" vertical="top" wrapText="1"/>
    </xf>
    <xf numFmtId="164" fontId="13" fillId="0" borderId="4" xfId="0" applyNumberFormat="1" applyFont="1" applyFill="1" applyBorder="1" applyAlignment="1">
      <alignment vertical="top" wrapText="1"/>
    </xf>
    <xf numFmtId="43" fontId="13" fillId="0" borderId="4" xfId="0" applyNumberFormat="1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3" fontId="14" fillId="0" borderId="6" xfId="0" applyNumberFormat="1" applyFont="1" applyFill="1" applyBorder="1" applyAlignment="1">
      <alignment vertical="top" wrapText="1"/>
    </xf>
    <xf numFmtId="3" fontId="14" fillId="0" borderId="3" xfId="0" applyNumberFormat="1" applyFont="1" applyFill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4" fontId="13" fillId="0" borderId="7" xfId="0" applyNumberFormat="1" applyFont="1" applyFill="1" applyBorder="1" applyAlignment="1">
      <alignment vertical="top" wrapText="1"/>
    </xf>
    <xf numFmtId="0" fontId="11" fillId="0" borderId="7" xfId="0" applyFont="1" applyFill="1" applyBorder="1" applyAlignment="1">
      <alignment vertical="top" wrapText="1"/>
    </xf>
    <xf numFmtId="3" fontId="11" fillId="0" borderId="7" xfId="0" applyNumberFormat="1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3" fontId="15" fillId="0" borderId="7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left" indent="6"/>
    </xf>
    <xf numFmtId="0" fontId="2" fillId="0" borderId="0" xfId="0" applyFont="1" applyFill="1"/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4" fontId="11" fillId="0" borderId="4" xfId="0" applyNumberFormat="1" applyFont="1" applyFill="1" applyBorder="1" applyAlignment="1">
      <alignment vertical="top" wrapText="1"/>
    </xf>
    <xf numFmtId="43" fontId="11" fillId="0" borderId="4" xfId="1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indent="2"/>
    </xf>
    <xf numFmtId="0" fontId="11" fillId="0" borderId="2" xfId="0" applyFont="1" applyFill="1" applyBorder="1" applyAlignment="1">
      <alignment vertical="top" wrapText="1"/>
    </xf>
    <xf numFmtId="0" fontId="0" fillId="0" borderId="0" xfId="0" applyFill="1" applyAlignment="1">
      <alignment horizontal="center" wrapText="1"/>
    </xf>
    <xf numFmtId="0" fontId="8" fillId="0" borderId="0" xfId="0" applyFont="1" applyFill="1"/>
    <xf numFmtId="3" fontId="17" fillId="0" borderId="8" xfId="2" applyNumberFormat="1" applyFont="1" applyFill="1" applyBorder="1" applyAlignment="1">
      <alignment horizontal="right" vertical="top"/>
    </xf>
    <xf numFmtId="3" fontId="18" fillId="0" borderId="8" xfId="2" applyNumberFormat="1" applyFont="1" applyFill="1" applyBorder="1" applyAlignment="1">
      <alignment horizontal="right" vertical="top"/>
    </xf>
    <xf numFmtId="0" fontId="7" fillId="0" borderId="0" xfId="0" applyFont="1" applyFill="1"/>
    <xf numFmtId="0" fontId="11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4" fontId="11" fillId="0" borderId="6" xfId="0" applyNumberFormat="1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4" fontId="11" fillId="0" borderId="3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1" fillId="0" borderId="1" xfId="0" applyFont="1" applyFill="1" applyBorder="1" applyAlignment="1">
      <alignment vertical="top" wrapText="1"/>
    </xf>
    <xf numFmtId="2" fontId="11" fillId="0" borderId="4" xfId="0" applyNumberFormat="1" applyFont="1" applyFill="1" applyBorder="1" applyAlignment="1">
      <alignment vertical="top" wrapText="1"/>
    </xf>
    <xf numFmtId="3" fontId="11" fillId="0" borderId="0" xfId="0" applyNumberFormat="1" applyFont="1" applyFill="1"/>
    <xf numFmtId="0" fontId="0" fillId="0" borderId="6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1" fontId="11" fillId="0" borderId="6" xfId="0" applyNumberFormat="1" applyFont="1" applyFill="1" applyBorder="1" applyAlignment="1">
      <alignment vertical="top" wrapText="1"/>
    </xf>
    <xf numFmtId="43" fontId="11" fillId="0" borderId="6" xfId="0" applyNumberFormat="1" applyFont="1" applyFill="1" applyBorder="1" applyAlignment="1">
      <alignment vertical="top" wrapText="1"/>
    </xf>
    <xf numFmtId="164" fontId="11" fillId="0" borderId="6" xfId="1" applyNumberFormat="1" applyFont="1" applyFill="1" applyBorder="1" applyAlignment="1">
      <alignment vertical="top" wrapText="1"/>
    </xf>
    <xf numFmtId="164" fontId="12" fillId="0" borderId="0" xfId="1" applyNumberFormat="1" applyFont="1" applyFill="1"/>
    <xf numFmtId="0" fontId="11" fillId="0" borderId="5" xfId="0" applyFont="1" applyFill="1" applyBorder="1" applyAlignment="1">
      <alignment vertical="top" wrapText="1"/>
    </xf>
    <xf numFmtId="164" fontId="11" fillId="0" borderId="5" xfId="1" applyNumberFormat="1" applyFont="1" applyFill="1" applyBorder="1" applyAlignment="1">
      <alignment vertical="top" wrapText="1"/>
    </xf>
    <xf numFmtId="164" fontId="11" fillId="0" borderId="3" xfId="1" applyNumberFormat="1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43" fontId="11" fillId="0" borderId="6" xfId="1" applyNumberFormat="1" applyFont="1" applyFill="1" applyBorder="1" applyAlignment="1">
      <alignment vertical="top" wrapText="1"/>
    </xf>
    <xf numFmtId="164" fontId="11" fillId="0" borderId="6" xfId="1" applyNumberFormat="1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164" fontId="12" fillId="0" borderId="5" xfId="1" applyNumberFormat="1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164" fontId="12" fillId="0" borderId="3" xfId="1" applyNumberFormat="1" applyFont="1" applyFill="1" applyBorder="1" applyAlignment="1">
      <alignment vertical="top" wrapText="1"/>
    </xf>
    <xf numFmtId="164" fontId="11" fillId="0" borderId="3" xfId="1" applyNumberFormat="1" applyFont="1" applyFill="1" applyBorder="1" applyAlignment="1">
      <alignment vertical="top" wrapText="1"/>
    </xf>
    <xf numFmtId="164" fontId="11" fillId="0" borderId="0" xfId="0" applyNumberFormat="1" applyFont="1" applyFill="1"/>
    <xf numFmtId="164" fontId="11" fillId="0" borderId="6" xfId="0" applyNumberFormat="1" applyFont="1" applyFill="1" applyBorder="1" applyAlignment="1">
      <alignment vertical="top" wrapText="1"/>
    </xf>
    <xf numFmtId="164" fontId="11" fillId="0" borderId="0" xfId="1" applyNumberFormat="1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left" indent="4"/>
    </xf>
    <xf numFmtId="164" fontId="11" fillId="0" borderId="6" xfId="0" applyNumberFormat="1" applyFont="1" applyFill="1" applyBorder="1" applyAlignment="1">
      <alignment vertical="top" wrapText="1"/>
    </xf>
    <xf numFmtId="164" fontId="11" fillId="0" borderId="6" xfId="1" applyNumberFormat="1" applyFont="1" applyFill="1" applyBorder="1" applyAlignment="1">
      <alignment horizontal="center" vertical="top" wrapText="1"/>
    </xf>
    <xf numFmtId="164" fontId="11" fillId="0" borderId="3" xfId="1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_1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zoomScale="115" zoomScaleNormal="115" workbookViewId="0">
      <selection activeCell="D10" sqref="D10"/>
    </sheetView>
  </sheetViews>
  <sheetFormatPr defaultRowHeight="15" x14ac:dyDescent="0.25"/>
  <cols>
    <col min="1" max="1" width="21.28515625" style="15" customWidth="1"/>
    <col min="2" max="4" width="10.7109375" style="15" bestFit="1" customWidth="1"/>
    <col min="5" max="5" width="13" style="15" customWidth="1"/>
    <col min="6" max="6" width="10.7109375" style="15" bestFit="1" customWidth="1"/>
    <col min="7" max="7" width="11.7109375" style="15" bestFit="1" customWidth="1"/>
    <col min="8" max="8" width="12.85546875" style="15" bestFit="1" customWidth="1"/>
    <col min="9" max="16384" width="9.140625" style="15"/>
  </cols>
  <sheetData>
    <row r="1" spans="1:9" x14ac:dyDescent="0.25">
      <c r="A1" s="107" t="s">
        <v>0</v>
      </c>
    </row>
    <row r="2" spans="1:9" x14ac:dyDescent="0.25">
      <c r="A2" s="108" t="s">
        <v>1</v>
      </c>
    </row>
    <row r="3" spans="1:9" x14ac:dyDescent="0.25">
      <c r="A3" s="63" t="s">
        <v>2</v>
      </c>
    </row>
    <row r="4" spans="1:9" ht="15.75" thickBot="1" x14ac:dyDescent="0.3">
      <c r="A4" s="109" t="s">
        <v>3</v>
      </c>
    </row>
    <row r="5" spans="1:9" ht="45.75" thickBot="1" x14ac:dyDescent="0.3">
      <c r="A5" s="20" t="s">
        <v>4</v>
      </c>
      <c r="B5" s="21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140</v>
      </c>
    </row>
    <row r="6" spans="1:9" ht="40.5" customHeight="1" thickBot="1" x14ac:dyDescent="0.3">
      <c r="A6" s="18" t="s">
        <v>139</v>
      </c>
      <c r="B6" s="30">
        <v>80000</v>
      </c>
      <c r="C6" s="30">
        <v>70000</v>
      </c>
      <c r="D6" s="30">
        <v>70000</v>
      </c>
      <c r="E6" s="30">
        <v>85000</v>
      </c>
      <c r="F6" s="30">
        <v>110650</v>
      </c>
      <c r="G6" s="30">
        <f>SUM(C6:F6)</f>
        <v>335650</v>
      </c>
      <c r="H6" s="30">
        <v>90000</v>
      </c>
      <c r="I6" s="83"/>
    </row>
    <row r="7" spans="1:9" ht="15.75" thickBot="1" x14ac:dyDescent="0.3">
      <c r="A7" s="18" t="s">
        <v>11</v>
      </c>
      <c r="B7" s="35">
        <f>B6*0.2</f>
        <v>16000</v>
      </c>
      <c r="C7" s="35">
        <f>C6*0.15</f>
        <v>10500</v>
      </c>
      <c r="D7" s="35">
        <f>D6*0.15</f>
        <v>10500</v>
      </c>
      <c r="E7" s="35">
        <f>E6*0.15</f>
        <v>12750</v>
      </c>
      <c r="F7" s="35">
        <v>23750</v>
      </c>
      <c r="G7" s="30">
        <f>SUM(C7:F7)</f>
        <v>57500</v>
      </c>
      <c r="H7" s="30">
        <f>H6*0.2</f>
        <v>18000</v>
      </c>
    </row>
    <row r="8" spans="1:9" ht="21.75" customHeight="1" x14ac:dyDescent="0.25">
      <c r="A8" s="87" t="s">
        <v>12</v>
      </c>
      <c r="B8" s="110">
        <f>B6*0.8</f>
        <v>64000</v>
      </c>
      <c r="C8" s="110">
        <f>C6*0.85</f>
        <v>59500</v>
      </c>
      <c r="D8" s="110">
        <f>D6*0.85</f>
        <v>59500</v>
      </c>
      <c r="E8" s="110">
        <f>E6*0.85</f>
        <v>72250</v>
      </c>
      <c r="F8" s="110">
        <v>86900</v>
      </c>
      <c r="G8" s="111">
        <f>SUM(C8:F8)</f>
        <v>278150</v>
      </c>
      <c r="H8" s="111">
        <f>H6*0.8</f>
        <v>72000</v>
      </c>
    </row>
    <row r="9" spans="1:9" ht="2.25" customHeight="1" thickBot="1" x14ac:dyDescent="0.3">
      <c r="A9" s="88"/>
      <c r="B9" s="81"/>
      <c r="C9" s="81"/>
      <c r="D9" s="81"/>
      <c r="E9" s="81"/>
      <c r="F9" s="81"/>
      <c r="G9" s="112"/>
      <c r="H9" s="112"/>
    </row>
    <row r="10" spans="1:9" x14ac:dyDescent="0.25">
      <c r="E10" s="16">
        <f>G6</f>
        <v>335650</v>
      </c>
    </row>
    <row r="11" spans="1:9" x14ac:dyDescent="0.25">
      <c r="A11" s="15" t="s">
        <v>153</v>
      </c>
    </row>
    <row r="14" spans="1:9" x14ac:dyDescent="0.25">
      <c r="B14" s="22"/>
    </row>
    <row r="15" spans="1:9" x14ac:dyDescent="0.25">
      <c r="B15" s="16">
        <f>B6-B7-B8</f>
        <v>0</v>
      </c>
      <c r="C15" s="16">
        <f t="shared" ref="C15:H15" si="0">C6-C7-C8</f>
        <v>0</v>
      </c>
      <c r="D15" s="16">
        <f t="shared" si="0"/>
        <v>0</v>
      </c>
      <c r="E15" s="16">
        <f t="shared" si="0"/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</row>
    <row r="17" ht="86.25" customHeight="1" x14ac:dyDescent="0.25"/>
    <row r="30" ht="86.25" customHeight="1" x14ac:dyDescent="0.25"/>
    <row r="42" spans="1:1" x14ac:dyDescent="0.25">
      <c r="A42" s="74"/>
    </row>
    <row r="43" spans="1:1" x14ac:dyDescent="0.25">
      <c r="A43" s="74"/>
    </row>
    <row r="44" spans="1:1" x14ac:dyDescent="0.25">
      <c r="A44" s="74"/>
    </row>
    <row r="45" spans="1:1" x14ac:dyDescent="0.25">
      <c r="A45" s="74"/>
    </row>
    <row r="46" spans="1:1" x14ac:dyDescent="0.25">
      <c r="A46" s="74"/>
    </row>
    <row r="47" spans="1:1" x14ac:dyDescent="0.25">
      <c r="A47" s="74"/>
    </row>
    <row r="48" spans="1:1" x14ac:dyDescent="0.25">
      <c r="A48" s="74"/>
    </row>
    <row r="49" spans="1:1" x14ac:dyDescent="0.25">
      <c r="A49" s="74"/>
    </row>
    <row r="50" spans="1:1" x14ac:dyDescent="0.25">
      <c r="A50" s="74"/>
    </row>
    <row r="51" spans="1:1" x14ac:dyDescent="0.25">
      <c r="A51" s="74"/>
    </row>
    <row r="52" spans="1:1" x14ac:dyDescent="0.25">
      <c r="A52" s="74"/>
    </row>
    <row r="53" spans="1:1" x14ac:dyDescent="0.25">
      <c r="A53" s="74"/>
    </row>
    <row r="54" spans="1:1" x14ac:dyDescent="0.25">
      <c r="A54" s="74"/>
    </row>
    <row r="55" spans="1:1" x14ac:dyDescent="0.25">
      <c r="A55" s="74"/>
    </row>
    <row r="56" spans="1:1" x14ac:dyDescent="0.25">
      <c r="A56" s="74"/>
    </row>
    <row r="57" spans="1:1" x14ac:dyDescent="0.25">
      <c r="A57" s="74"/>
    </row>
    <row r="58" spans="1:1" x14ac:dyDescent="0.25">
      <c r="A58" s="74"/>
    </row>
    <row r="59" spans="1:1" x14ac:dyDescent="0.25">
      <c r="A59" s="74"/>
    </row>
    <row r="60" spans="1:1" x14ac:dyDescent="0.25">
      <c r="A60" s="74"/>
    </row>
    <row r="61" spans="1:1" x14ac:dyDescent="0.25">
      <c r="A61" s="74"/>
    </row>
    <row r="62" spans="1:1" x14ac:dyDescent="0.25">
      <c r="A62" s="74"/>
    </row>
    <row r="63" spans="1:1" x14ac:dyDescent="0.25">
      <c r="A63" s="74"/>
    </row>
    <row r="64" spans="1:1" x14ac:dyDescent="0.25">
      <c r="A64" s="74"/>
    </row>
    <row r="65" spans="1:1" x14ac:dyDescent="0.25">
      <c r="A65" s="74"/>
    </row>
    <row r="66" spans="1:1" x14ac:dyDescent="0.25">
      <c r="A66" s="74"/>
    </row>
    <row r="67" spans="1:1" x14ac:dyDescent="0.25">
      <c r="A67" s="74"/>
    </row>
    <row r="68" spans="1:1" x14ac:dyDescent="0.25">
      <c r="A68" s="74"/>
    </row>
    <row r="72" spans="1:1" ht="86.25" customHeight="1" x14ac:dyDescent="0.25"/>
    <row r="83" spans="1:1" ht="86.25" customHeight="1" x14ac:dyDescent="0.25"/>
    <row r="87" spans="1:1" ht="86.25" customHeight="1" x14ac:dyDescent="0.25"/>
    <row r="95" spans="1:1" x14ac:dyDescent="0.25">
      <c r="A95" s="109"/>
    </row>
    <row r="96" spans="1:1" x14ac:dyDescent="0.25">
      <c r="A96" s="74"/>
    </row>
    <row r="97" spans="1:1" x14ac:dyDescent="0.25">
      <c r="A97" s="74"/>
    </row>
    <row r="98" spans="1:1" x14ac:dyDescent="0.25">
      <c r="A98" s="74"/>
    </row>
    <row r="99" spans="1:1" x14ac:dyDescent="0.25">
      <c r="A99" s="74"/>
    </row>
    <row r="100" spans="1:1" x14ac:dyDescent="0.25">
      <c r="A100" s="74"/>
    </row>
    <row r="101" spans="1:1" x14ac:dyDescent="0.25">
      <c r="A101" s="74"/>
    </row>
    <row r="102" spans="1:1" x14ac:dyDescent="0.25">
      <c r="A102" s="74"/>
    </row>
  </sheetData>
  <mergeCells count="8">
    <mergeCell ref="H8:H9"/>
    <mergeCell ref="G8:G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1" sqref="A21:XFD27"/>
    </sheetView>
  </sheetViews>
  <sheetFormatPr defaultRowHeight="15" x14ac:dyDescent="0.25"/>
  <cols>
    <col min="1" max="1" width="26.85546875" style="15" customWidth="1"/>
    <col min="2" max="6" width="11.28515625" style="15" customWidth="1"/>
    <col min="7" max="7" width="9.140625" style="15"/>
    <col min="8" max="8" width="10.42578125" style="15" bestFit="1" customWidth="1"/>
    <col min="9" max="16384" width="9.140625" style="15"/>
  </cols>
  <sheetData>
    <row r="1" spans="1:6" x14ac:dyDescent="0.25">
      <c r="A1" s="77" t="s">
        <v>59</v>
      </c>
    </row>
    <row r="2" spans="1:6" ht="15.75" thickBot="1" x14ac:dyDescent="0.3">
      <c r="A2" s="63" t="s">
        <v>60</v>
      </c>
    </row>
    <row r="3" spans="1:6" ht="45.75" thickBot="1" x14ac:dyDescent="0.3">
      <c r="A3" s="20"/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</row>
    <row r="4" spans="1:6" ht="38.25" customHeight="1" thickBot="1" x14ac:dyDescent="0.3">
      <c r="A4" s="19" t="s">
        <v>61</v>
      </c>
      <c r="B4" s="48">
        <v>10000</v>
      </c>
      <c r="C4" s="35">
        <f>B19</f>
        <v>10661.642999999996</v>
      </c>
      <c r="D4" s="35">
        <f>C19</f>
        <v>10876.899999999994</v>
      </c>
      <c r="E4" s="35">
        <f>D19</f>
        <v>10990.130000000005</v>
      </c>
      <c r="F4" s="32"/>
    </row>
    <row r="5" spans="1:6" ht="45" customHeight="1" thickBot="1" x14ac:dyDescent="0.3">
      <c r="A5" s="19" t="s">
        <v>62</v>
      </c>
      <c r="B5" s="30">
        <f>'2'!B8</f>
        <v>75500</v>
      </c>
      <c r="C5" s="30">
        <f>'2'!C8</f>
        <v>70000</v>
      </c>
      <c r="D5" s="30">
        <f>'2'!D8</f>
        <v>82750</v>
      </c>
      <c r="E5" s="30">
        <f>'2'!E8</f>
        <v>99650</v>
      </c>
      <c r="F5" s="30">
        <f>SUM(B5:E5)</f>
        <v>327900</v>
      </c>
    </row>
    <row r="6" spans="1:6" ht="15.75" thickBot="1" x14ac:dyDescent="0.3">
      <c r="A6" s="19" t="s">
        <v>63</v>
      </c>
      <c r="B6" s="31"/>
      <c r="C6" s="32"/>
      <c r="D6" s="32"/>
      <c r="E6" s="32"/>
      <c r="F6" s="32"/>
    </row>
    <row r="7" spans="1:6" ht="29.25" customHeight="1" thickBot="1" x14ac:dyDescent="0.3">
      <c r="A7" s="49" t="s">
        <v>64</v>
      </c>
      <c r="B7" s="32">
        <f>'6'!C4</f>
        <v>42864.357000000004</v>
      </c>
      <c r="C7" s="32">
        <f>'6'!D4</f>
        <v>44161.402999999998</v>
      </c>
      <c r="D7" s="32">
        <f>'6'!E4</f>
        <v>51189.709999999992</v>
      </c>
      <c r="E7" s="32">
        <f>'6'!F4</f>
        <v>55455.099999999991</v>
      </c>
      <c r="F7" s="30">
        <f>SUM(B7:E7)</f>
        <v>193670.57</v>
      </c>
    </row>
    <row r="8" spans="1:6" ht="37.5" customHeight="1" thickBot="1" x14ac:dyDescent="0.3">
      <c r="A8" s="49" t="s">
        <v>46</v>
      </c>
      <c r="B8" s="32">
        <f>'8'!C12</f>
        <v>28134</v>
      </c>
      <c r="C8" s="32">
        <f>'8'!D12</f>
        <v>25623.34</v>
      </c>
      <c r="D8" s="32">
        <f>'8'!E12</f>
        <v>26447.06</v>
      </c>
      <c r="E8" s="32">
        <f>'8'!F12</f>
        <v>30658.760000000002</v>
      </c>
      <c r="F8" s="30">
        <f>SUM(B8:E8)</f>
        <v>110863.16</v>
      </c>
    </row>
    <row r="9" spans="1:6" ht="33" customHeight="1" thickBot="1" x14ac:dyDescent="0.3">
      <c r="A9" s="49" t="s">
        <v>65</v>
      </c>
      <c r="B9" s="32">
        <v>22000</v>
      </c>
      <c r="C9" s="32"/>
      <c r="D9" s="32"/>
      <c r="E9" s="32"/>
      <c r="F9" s="30">
        <f>SUM(B9:E9)</f>
        <v>22000</v>
      </c>
    </row>
    <row r="10" spans="1:6" ht="15.75" thickBot="1" x14ac:dyDescent="0.3">
      <c r="A10" s="19" t="s">
        <v>66</v>
      </c>
      <c r="B10" s="33">
        <f>SUM(B7:B9)</f>
        <v>92998.357000000004</v>
      </c>
      <c r="C10" s="33">
        <f>SUM(C7:C9)</f>
        <v>69784.743000000002</v>
      </c>
      <c r="D10" s="33">
        <f>SUM(D7:D9)</f>
        <v>77636.76999999999</v>
      </c>
      <c r="E10" s="33">
        <f>SUM(E7:E9)</f>
        <v>86113.859999999986</v>
      </c>
      <c r="F10" s="30">
        <f>SUM(B10:E10)</f>
        <v>326533.73</v>
      </c>
    </row>
    <row r="11" spans="1:6" ht="36.75" customHeight="1" thickBot="1" x14ac:dyDescent="0.3">
      <c r="A11" s="18" t="s">
        <v>67</v>
      </c>
      <c r="B11" s="34">
        <v>10000</v>
      </c>
      <c r="C11" s="34">
        <v>10000</v>
      </c>
      <c r="D11" s="34">
        <v>10000</v>
      </c>
      <c r="E11" s="34">
        <v>10000</v>
      </c>
      <c r="F11" s="36" t="s">
        <v>138</v>
      </c>
    </row>
    <row r="12" spans="1:6" ht="39.75" customHeight="1" thickBot="1" x14ac:dyDescent="0.3">
      <c r="A12" s="19" t="s">
        <v>68</v>
      </c>
      <c r="B12" s="50">
        <f>B5-B10</f>
        <v>-17498.357000000004</v>
      </c>
      <c r="C12" s="35">
        <f>C5-C10</f>
        <v>215.25699999999779</v>
      </c>
      <c r="D12" s="35">
        <f>D5-D10</f>
        <v>5113.2300000000105</v>
      </c>
      <c r="E12" s="35">
        <f>E5-E10</f>
        <v>13536.140000000014</v>
      </c>
      <c r="F12" s="36" t="s">
        <v>138</v>
      </c>
    </row>
    <row r="13" spans="1:6" ht="54.75" customHeight="1" thickBot="1" x14ac:dyDescent="0.3">
      <c r="A13" s="19" t="s">
        <v>69</v>
      </c>
      <c r="B13" s="30"/>
      <c r="C13" s="32"/>
      <c r="D13" s="32"/>
      <c r="E13" s="32"/>
      <c r="F13" s="32"/>
    </row>
    <row r="14" spans="1:6" ht="30" customHeight="1" thickBot="1" x14ac:dyDescent="0.3">
      <c r="A14" s="18" t="s">
        <v>70</v>
      </c>
      <c r="B14" s="30">
        <v>22000</v>
      </c>
      <c r="C14" s="30"/>
      <c r="D14" s="30"/>
      <c r="E14" s="30"/>
      <c r="F14" s="30">
        <f>SUM(B14:E14)</f>
        <v>22000</v>
      </c>
    </row>
    <row r="15" spans="1:6" ht="32.25" customHeight="1" thickBot="1" x14ac:dyDescent="0.3">
      <c r="A15" s="18" t="s">
        <v>71</v>
      </c>
      <c r="B15" s="30"/>
      <c r="C15" s="30"/>
      <c r="D15" s="30">
        <v>5000</v>
      </c>
      <c r="E15" s="30"/>
      <c r="F15" s="30">
        <f>SUM(C15:E15)</f>
        <v>5000</v>
      </c>
    </row>
    <row r="16" spans="1:6" ht="34.5" customHeight="1" thickBot="1" x14ac:dyDescent="0.3">
      <c r="A16" s="18" t="s">
        <v>72</v>
      </c>
      <c r="B16" s="32"/>
      <c r="C16" s="32"/>
      <c r="D16" s="32"/>
      <c r="E16" s="32">
        <f>'11'!E6</f>
        <v>915</v>
      </c>
      <c r="F16" s="30">
        <f>SUM(C16:E16)</f>
        <v>915</v>
      </c>
    </row>
    <row r="17" spans="1:6" ht="67.5" customHeight="1" thickBot="1" x14ac:dyDescent="0.3">
      <c r="A17" s="19" t="s">
        <v>73</v>
      </c>
      <c r="B17" s="50">
        <f>B14</f>
        <v>22000</v>
      </c>
      <c r="C17" s="50">
        <f t="shared" ref="C17:E17" si="0">C14-C15-C16</f>
        <v>0</v>
      </c>
      <c r="D17" s="50">
        <f t="shared" si="0"/>
        <v>-5000</v>
      </c>
      <c r="E17" s="50">
        <f t="shared" si="0"/>
        <v>-915</v>
      </c>
      <c r="F17" s="30">
        <f>SUM(C17:E17)</f>
        <v>-5915</v>
      </c>
    </row>
    <row r="18" spans="1:6" ht="67.5" customHeight="1" thickBot="1" x14ac:dyDescent="0.3">
      <c r="A18" s="19" t="s">
        <v>176</v>
      </c>
      <c r="B18" s="50">
        <v>3840</v>
      </c>
      <c r="C18" s="50"/>
      <c r="D18" s="50"/>
      <c r="E18" s="50">
        <v>13695</v>
      </c>
      <c r="F18" s="30"/>
    </row>
    <row r="19" spans="1:6" ht="37.5" customHeight="1" thickBot="1" x14ac:dyDescent="0.3">
      <c r="A19" s="19" t="s">
        <v>74</v>
      </c>
      <c r="B19" s="50">
        <f>B4+B5-B10+B17-B18</f>
        <v>10661.642999999996</v>
      </c>
      <c r="C19" s="50">
        <f>C4+C12+C17</f>
        <v>10876.899999999994</v>
      </c>
      <c r="D19" s="50">
        <f>D4+D12+D17</f>
        <v>10990.130000000005</v>
      </c>
      <c r="E19" s="51">
        <f>E4+E12+E17-E18</f>
        <v>9916.2700000000186</v>
      </c>
      <c r="F19" s="32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F26" sqref="F26"/>
    </sheetView>
  </sheetViews>
  <sheetFormatPr defaultRowHeight="15" x14ac:dyDescent="0.25"/>
  <cols>
    <col min="1" max="1" width="21.5703125" customWidth="1"/>
    <col min="2" max="6" width="15.140625" customWidth="1"/>
  </cols>
  <sheetData>
    <row r="2" spans="1:7" ht="15.75" thickBot="1" x14ac:dyDescent="0.3">
      <c r="A2" s="1" t="s">
        <v>75</v>
      </c>
    </row>
    <row r="3" spans="1:7" ht="30.75" thickBot="1" x14ac:dyDescent="0.3">
      <c r="A3" s="3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7" ht="48.75" customHeight="1" thickBot="1" x14ac:dyDescent="0.3">
      <c r="A4" s="5" t="s">
        <v>76</v>
      </c>
      <c r="B4" s="28"/>
      <c r="C4" s="28">
        <v>22000</v>
      </c>
      <c r="D4" s="28">
        <v>22000</v>
      </c>
      <c r="E4" s="28">
        <v>17000</v>
      </c>
      <c r="F4" s="28">
        <f>'10'!F14-'10'!F15</f>
        <v>17000</v>
      </c>
      <c r="G4" s="26"/>
    </row>
    <row r="5" spans="1:7" ht="29.25" customHeight="1" thickBot="1" x14ac:dyDescent="0.3">
      <c r="A5" s="5" t="s">
        <v>77</v>
      </c>
      <c r="B5" s="28">
        <f>B4*(0.18/12)</f>
        <v>0</v>
      </c>
      <c r="C5" s="28">
        <f>C4*(0.18/12)</f>
        <v>330</v>
      </c>
      <c r="D5" s="28">
        <f>D4*(0.18/12)</f>
        <v>330</v>
      </c>
      <c r="E5" s="28">
        <f>E4*(0.18/12)</f>
        <v>255</v>
      </c>
      <c r="F5" s="28">
        <f>SUM(B5:E5)</f>
        <v>915</v>
      </c>
      <c r="G5" s="26"/>
    </row>
    <row r="6" spans="1:7" ht="33" customHeight="1" thickBot="1" x14ac:dyDescent="0.3">
      <c r="A6" s="5" t="s">
        <v>78</v>
      </c>
      <c r="B6" s="28"/>
      <c r="C6" s="28"/>
      <c r="D6" s="28"/>
      <c r="E6" s="28">
        <v>915</v>
      </c>
      <c r="F6" s="28"/>
      <c r="G6" s="26"/>
    </row>
    <row r="7" spans="1:7" ht="31.5" customHeight="1" thickBot="1" x14ac:dyDescent="0.3">
      <c r="A7" s="5" t="s">
        <v>79</v>
      </c>
      <c r="B7" s="28">
        <f>B5-B6</f>
        <v>0</v>
      </c>
      <c r="C7" s="28">
        <f>B5+C5</f>
        <v>330</v>
      </c>
      <c r="D7" s="28">
        <f>B5+C5+D5</f>
        <v>660</v>
      </c>
      <c r="E7" s="28">
        <f>E5-E6+D7</f>
        <v>0</v>
      </c>
      <c r="F7" s="28"/>
      <c r="G7" s="26"/>
    </row>
    <row r="8" spans="1:7" x14ac:dyDescent="0.25">
      <c r="B8" s="23"/>
      <c r="C8" s="23"/>
      <c r="D8" s="23"/>
      <c r="E8" s="23"/>
      <c r="F8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115" zoomScaleNormal="115" workbookViewId="0">
      <selection sqref="A1:XFD1048576"/>
    </sheetView>
  </sheetViews>
  <sheetFormatPr defaultRowHeight="15" x14ac:dyDescent="0.25"/>
  <cols>
    <col min="1" max="1" width="51.28515625" style="15" customWidth="1"/>
    <col min="2" max="2" width="25.140625" style="15" customWidth="1"/>
    <col min="3" max="16384" width="9.140625" style="15"/>
  </cols>
  <sheetData>
    <row r="1" spans="1:5" ht="32.25" customHeight="1" x14ac:dyDescent="0.25">
      <c r="A1" s="69" t="s">
        <v>80</v>
      </c>
      <c r="B1" s="69"/>
      <c r="C1" s="69"/>
      <c r="D1" s="69"/>
      <c r="E1" s="69"/>
    </row>
    <row r="2" spans="1:5" x14ac:dyDescent="0.25">
      <c r="A2" s="70" t="s">
        <v>161</v>
      </c>
    </row>
    <row r="3" spans="1:5" ht="15.75" thickBot="1" x14ac:dyDescent="0.3">
      <c r="A3" s="71"/>
    </row>
    <row r="4" spans="1:5" ht="25.5" customHeight="1" thickBot="1" x14ac:dyDescent="0.3">
      <c r="A4" s="65" t="s">
        <v>48</v>
      </c>
      <c r="B4" s="72">
        <f>'1'!G6</f>
        <v>335650</v>
      </c>
    </row>
    <row r="5" spans="1:5" ht="27.75" customHeight="1" thickBot="1" x14ac:dyDescent="0.3">
      <c r="A5" s="18" t="s">
        <v>49</v>
      </c>
      <c r="B5" s="32">
        <f>'3'!H7</f>
        <v>201451.11</v>
      </c>
    </row>
    <row r="6" spans="1:5" ht="18.75" customHeight="1" thickBot="1" x14ac:dyDescent="0.3">
      <c r="A6" s="19" t="s">
        <v>50</v>
      </c>
      <c r="B6" s="32">
        <f>B4-B5</f>
        <v>134198.89000000001</v>
      </c>
    </row>
    <row r="7" spans="1:5" ht="24" customHeight="1" thickBot="1" x14ac:dyDescent="0.3">
      <c r="A7" s="17" t="s">
        <v>51</v>
      </c>
      <c r="B7" s="34">
        <f>SUM(B8:B13)</f>
        <v>118865</v>
      </c>
    </row>
    <row r="8" spans="1:5" ht="22.5" customHeight="1" thickBot="1" x14ac:dyDescent="0.3">
      <c r="A8" s="49" t="s">
        <v>52</v>
      </c>
      <c r="B8" s="34">
        <f>'7'!G5</f>
        <v>68000</v>
      </c>
    </row>
    <row r="9" spans="1:5" ht="22.5" customHeight="1" thickBot="1" x14ac:dyDescent="0.3">
      <c r="A9" s="49" t="s">
        <v>175</v>
      </c>
      <c r="B9" s="34">
        <v>20536</v>
      </c>
    </row>
    <row r="10" spans="1:5" ht="15.75" thickBot="1" x14ac:dyDescent="0.3">
      <c r="A10" s="49" t="s">
        <v>146</v>
      </c>
      <c r="B10" s="34">
        <f>'7'!G10</f>
        <v>1200</v>
      </c>
    </row>
    <row r="11" spans="1:5" ht="15.75" thickBot="1" x14ac:dyDescent="0.3">
      <c r="A11" s="49" t="s">
        <v>149</v>
      </c>
      <c r="B11" s="34">
        <f>'7'!G9</f>
        <v>10000</v>
      </c>
    </row>
    <row r="12" spans="1:5" ht="15.75" thickBot="1" x14ac:dyDescent="0.3">
      <c r="A12" s="49" t="s">
        <v>53</v>
      </c>
      <c r="B12" s="34">
        <f>'7'!G8</f>
        <v>16000</v>
      </c>
    </row>
    <row r="13" spans="1:5" ht="15.75" thickBot="1" x14ac:dyDescent="0.3">
      <c r="A13" s="49" t="s">
        <v>42</v>
      </c>
      <c r="B13" s="34">
        <v>3129</v>
      </c>
    </row>
    <row r="14" spans="1:5" ht="24" customHeight="1" thickBot="1" x14ac:dyDescent="0.3">
      <c r="A14" s="19" t="s">
        <v>54</v>
      </c>
      <c r="B14" s="34">
        <f>B6-B7</f>
        <v>15333.890000000014</v>
      </c>
    </row>
    <row r="15" spans="1:5" ht="17.25" customHeight="1" thickBot="1" x14ac:dyDescent="0.3">
      <c r="A15" s="18" t="s">
        <v>55</v>
      </c>
      <c r="B15" s="32">
        <f>'11'!F5</f>
        <v>915</v>
      </c>
    </row>
    <row r="16" spans="1:5" ht="24" customHeight="1" thickBot="1" x14ac:dyDescent="0.3">
      <c r="A16" s="19" t="s">
        <v>56</v>
      </c>
      <c r="B16" s="34">
        <f>B14-B15</f>
        <v>14418.890000000014</v>
      </c>
    </row>
    <row r="17" spans="1:5" ht="24" customHeight="1" thickBot="1" x14ac:dyDescent="0.3">
      <c r="A17" s="18" t="s">
        <v>57</v>
      </c>
      <c r="B17" s="32">
        <v>13695</v>
      </c>
    </row>
    <row r="18" spans="1:5" ht="23.25" customHeight="1" thickBot="1" x14ac:dyDescent="0.3">
      <c r="A18" s="19" t="s">
        <v>58</v>
      </c>
      <c r="B18" s="34">
        <f>B16-B17</f>
        <v>723.89000000001397</v>
      </c>
    </row>
    <row r="19" spans="1:5" x14ac:dyDescent="0.25">
      <c r="B19" s="25"/>
    </row>
    <row r="20" spans="1:5" ht="33" customHeight="1" x14ac:dyDescent="0.25">
      <c r="A20" s="73"/>
      <c r="B20" s="73"/>
      <c r="C20" s="73"/>
      <c r="D20" s="73"/>
      <c r="E20" s="73"/>
    </row>
    <row r="21" spans="1:5" x14ac:dyDescent="0.25">
      <c r="A21" s="74"/>
    </row>
    <row r="22" spans="1:5" x14ac:dyDescent="0.25">
      <c r="A22" s="74"/>
    </row>
    <row r="23" spans="1:5" x14ac:dyDescent="0.25">
      <c r="A23" s="75"/>
    </row>
    <row r="24" spans="1:5" x14ac:dyDescent="0.25">
      <c r="A24" s="22"/>
      <c r="B24" s="75"/>
      <c r="C24" s="75"/>
      <c r="D24" s="76"/>
      <c r="E24" s="75"/>
    </row>
  </sheetData>
  <mergeCells count="2">
    <mergeCell ref="A1:E1"/>
    <mergeCell ref="A20:E20"/>
  </mergeCells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H21" sqref="H21"/>
    </sheetView>
  </sheetViews>
  <sheetFormatPr defaultRowHeight="15" x14ac:dyDescent="0.25"/>
  <cols>
    <col min="1" max="1" width="38.42578125" style="15" customWidth="1"/>
    <col min="2" max="3" width="16" style="15" customWidth="1"/>
    <col min="4" max="16384" width="9.140625" style="15"/>
  </cols>
  <sheetData>
    <row r="2" spans="1:3" x14ac:dyDescent="0.25">
      <c r="A2" s="63" t="s">
        <v>81</v>
      </c>
    </row>
    <row r="3" spans="1:3" ht="15.75" thickBot="1" x14ac:dyDescent="0.3">
      <c r="A3" s="64" t="s">
        <v>162</v>
      </c>
    </row>
    <row r="4" spans="1:3" ht="30.75" thickBot="1" x14ac:dyDescent="0.3">
      <c r="A4" s="65" t="s">
        <v>82</v>
      </c>
      <c r="B4" s="66" t="s">
        <v>163</v>
      </c>
      <c r="C4" s="66" t="s">
        <v>164</v>
      </c>
    </row>
    <row r="5" spans="1:3" ht="27" customHeight="1" thickBot="1" x14ac:dyDescent="0.3">
      <c r="A5" s="17" t="s">
        <v>83</v>
      </c>
      <c r="B5" s="31"/>
      <c r="C5" s="30"/>
    </row>
    <row r="6" spans="1:3" ht="21" customHeight="1" thickBot="1" x14ac:dyDescent="0.3">
      <c r="A6" s="18" t="s">
        <v>84</v>
      </c>
      <c r="B6" s="34">
        <f>10000</f>
        <v>10000</v>
      </c>
      <c r="C6" s="30">
        <f>'10'!E19</f>
        <v>9916.2700000000186</v>
      </c>
    </row>
    <row r="7" spans="1:3" ht="27.75" customHeight="1" thickBot="1" x14ac:dyDescent="0.3">
      <c r="A7" s="18" t="s">
        <v>85</v>
      </c>
      <c r="B7" s="34">
        <v>16000</v>
      </c>
      <c r="C7" s="30">
        <f>'2'!D12</f>
        <v>23750</v>
      </c>
    </row>
    <row r="8" spans="1:3" ht="23.25" customHeight="1" thickBot="1" x14ac:dyDescent="0.3">
      <c r="A8" s="18" t="s">
        <v>86</v>
      </c>
      <c r="B8" s="67">
        <f>'4'!C10</f>
        <v>73628.67</v>
      </c>
      <c r="C8" s="30">
        <f>'4'!D14</f>
        <v>73804.05</v>
      </c>
    </row>
    <row r="9" spans="1:3" ht="33" customHeight="1" thickBot="1" x14ac:dyDescent="0.3">
      <c r="A9" s="18" t="s">
        <v>152</v>
      </c>
      <c r="B9" s="34">
        <v>1800</v>
      </c>
      <c r="C9" s="30">
        <f>B9-'7'!G10</f>
        <v>600</v>
      </c>
    </row>
    <row r="10" spans="1:3" ht="23.25" customHeight="1" thickBot="1" x14ac:dyDescent="0.3">
      <c r="A10" s="19" t="s">
        <v>87</v>
      </c>
      <c r="B10" s="37">
        <f>SUM(B6:B9)</f>
        <v>101428.67</v>
      </c>
      <c r="C10" s="37">
        <f>SUM(C6:C9)</f>
        <v>108070.32000000002</v>
      </c>
    </row>
    <row r="11" spans="1:3" ht="20.25" customHeight="1" thickBot="1" x14ac:dyDescent="0.3">
      <c r="A11" s="17" t="s">
        <v>88</v>
      </c>
      <c r="B11" s="31"/>
      <c r="C11" s="33"/>
    </row>
    <row r="12" spans="1:3" ht="15.75" thickBot="1" x14ac:dyDescent="0.3">
      <c r="A12" s="18" t="s">
        <v>89</v>
      </c>
      <c r="B12" s="34">
        <v>37000</v>
      </c>
      <c r="C12" s="30">
        <f>B12+'10'!B9</f>
        <v>59000</v>
      </c>
    </row>
    <row r="13" spans="1:3" ht="24.75" customHeight="1" thickBot="1" x14ac:dyDescent="0.3">
      <c r="A13" s="18" t="s">
        <v>90</v>
      </c>
      <c r="B13" s="34">
        <v>13326.09</v>
      </c>
      <c r="C13" s="30">
        <f>B13+'7'!G11</f>
        <v>16455.09</v>
      </c>
    </row>
    <row r="14" spans="1:3" ht="27.75" customHeight="1" thickBot="1" x14ac:dyDescent="0.3">
      <c r="A14" s="18" t="s">
        <v>91</v>
      </c>
      <c r="B14" s="34">
        <f>B12-B13</f>
        <v>23673.91</v>
      </c>
      <c r="C14" s="34">
        <f>C12-C13</f>
        <v>42544.91</v>
      </c>
    </row>
    <row r="15" spans="1:3" ht="33.75" customHeight="1" thickBot="1" x14ac:dyDescent="0.3">
      <c r="A15" s="19" t="s">
        <v>92</v>
      </c>
      <c r="B15" s="37">
        <f>B14</f>
        <v>23673.91</v>
      </c>
      <c r="C15" s="37">
        <f>C14</f>
        <v>42544.91</v>
      </c>
    </row>
    <row r="16" spans="1:3" ht="15.75" thickBot="1" x14ac:dyDescent="0.3">
      <c r="A16" s="19" t="s">
        <v>93</v>
      </c>
      <c r="B16" s="37">
        <f>B15+B10</f>
        <v>125102.58</v>
      </c>
      <c r="C16" s="37">
        <f>C15+C10</f>
        <v>150615.23000000004</v>
      </c>
    </row>
    <row r="17" spans="1:3" ht="15.75" thickBot="1" x14ac:dyDescent="0.3">
      <c r="A17" s="19" t="s">
        <v>94</v>
      </c>
      <c r="B17" s="31"/>
      <c r="C17" s="33"/>
    </row>
    <row r="18" spans="1:3" ht="22.5" customHeight="1" thickBot="1" x14ac:dyDescent="0.3">
      <c r="A18" s="17" t="s">
        <v>95</v>
      </c>
      <c r="B18" s="31"/>
      <c r="C18" s="33"/>
    </row>
    <row r="19" spans="1:3" ht="25.5" customHeight="1" thickBot="1" x14ac:dyDescent="0.3">
      <c r="A19" s="18" t="s">
        <v>96</v>
      </c>
      <c r="B19" s="34">
        <f>'6'!C5</f>
        <v>30264.36</v>
      </c>
      <c r="C19" s="68">
        <f>'6'!E11</f>
        <v>38220.28</v>
      </c>
    </row>
    <row r="20" spans="1:3" ht="30.75" customHeight="1" thickBot="1" x14ac:dyDescent="0.3">
      <c r="A20" s="18" t="s">
        <v>97</v>
      </c>
      <c r="B20" s="34">
        <f>'7'!B5-'8'!B6-'7'!B6</f>
        <v>14007</v>
      </c>
      <c r="C20" s="30">
        <f>'7'!F5-'8'!F6-'7'!F6</f>
        <v>16449.14</v>
      </c>
    </row>
    <row r="21" spans="1:3" ht="30.75" customHeight="1" thickBot="1" x14ac:dyDescent="0.3">
      <c r="A21" s="18" t="s">
        <v>178</v>
      </c>
      <c r="B21" s="34"/>
      <c r="C21" s="30">
        <f>'11'!E4</f>
        <v>17000</v>
      </c>
    </row>
    <row r="22" spans="1:3" ht="43.5" customHeight="1" thickBot="1" x14ac:dyDescent="0.3">
      <c r="A22" s="18" t="s">
        <v>98</v>
      </c>
      <c r="B22" s="32">
        <v>3840</v>
      </c>
      <c r="C22" s="33"/>
    </row>
    <row r="23" spans="1:3" ht="43.5" customHeight="1" thickBot="1" x14ac:dyDescent="0.3">
      <c r="A23" s="18" t="s">
        <v>173</v>
      </c>
      <c r="B23" s="32">
        <f>'7'!B6</f>
        <v>2210</v>
      </c>
      <c r="C23" s="30">
        <f>'7'!F6</f>
        <v>2580</v>
      </c>
    </row>
    <row r="24" spans="1:3" ht="43.5" customHeight="1" thickBot="1" x14ac:dyDescent="0.3">
      <c r="A24" s="18" t="s">
        <v>174</v>
      </c>
      <c r="B24" s="32">
        <v>5134</v>
      </c>
      <c r="C24" s="30">
        <v>5994.7</v>
      </c>
    </row>
    <row r="25" spans="1:3" ht="20.25" customHeight="1" thickBot="1" x14ac:dyDescent="0.3">
      <c r="A25" s="19" t="s">
        <v>99</v>
      </c>
      <c r="B25" s="37">
        <f>B19+B20+B22+B23+B24+B21</f>
        <v>55455.360000000001</v>
      </c>
      <c r="C25" s="37">
        <f>C19+C20+C22+C23+C24+C21</f>
        <v>80244.12</v>
      </c>
    </row>
    <row r="26" spans="1:3" ht="19.5" customHeight="1" thickBot="1" x14ac:dyDescent="0.3">
      <c r="A26" s="19" t="s">
        <v>100</v>
      </c>
      <c r="B26" s="47">
        <f>64153.8+5403.2</f>
        <v>69557</v>
      </c>
      <c r="C26" s="47">
        <f>64153.8+5689.8</f>
        <v>69843.600000000006</v>
      </c>
    </row>
    <row r="27" spans="1:3" ht="30.75" customHeight="1" x14ac:dyDescent="0.25">
      <c r="A27" s="52" t="s">
        <v>101</v>
      </c>
      <c r="B27" s="53">
        <f>B25+B26</f>
        <v>125012.36</v>
      </c>
      <c r="C27" s="53">
        <f>C25+C26</f>
        <v>150087.72</v>
      </c>
    </row>
    <row r="28" spans="1:3" ht="15.75" thickBot="1" x14ac:dyDescent="0.3">
      <c r="A28" s="19" t="s">
        <v>102</v>
      </c>
      <c r="B28" s="54"/>
      <c r="C28" s="54"/>
    </row>
    <row r="29" spans="1:3" x14ac:dyDescent="0.25">
      <c r="B29" s="25"/>
      <c r="C29" s="25"/>
    </row>
    <row r="31" spans="1:3" x14ac:dyDescent="0.25">
      <c r="B31" s="22"/>
    </row>
  </sheetData>
  <mergeCells count="2">
    <mergeCell ref="B27:B28"/>
    <mergeCell ref="C27:C28"/>
  </mergeCells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F1" sqref="F1:F1048576"/>
    </sheetView>
  </sheetViews>
  <sheetFormatPr defaultRowHeight="15" x14ac:dyDescent="0.25"/>
  <cols>
    <col min="1" max="1" width="50.85546875" customWidth="1"/>
    <col min="2" max="2" width="20.28515625" customWidth="1"/>
    <col min="5" max="5" width="2" customWidth="1"/>
  </cols>
  <sheetData>
    <row r="1" spans="1:4" x14ac:dyDescent="0.25">
      <c r="A1" s="1" t="s">
        <v>103</v>
      </c>
    </row>
    <row r="2" spans="1:4" x14ac:dyDescent="0.25">
      <c r="A2" s="1" t="s">
        <v>165</v>
      </c>
    </row>
    <row r="3" spans="1:4" x14ac:dyDescent="0.25">
      <c r="A3" s="1"/>
    </row>
    <row r="4" spans="1:4" ht="17.25" x14ac:dyDescent="0.25">
      <c r="A4" s="55" t="s">
        <v>104</v>
      </c>
      <c r="B4" s="55"/>
    </row>
    <row r="5" spans="1:4" ht="21.75" customHeight="1" x14ac:dyDescent="0.25">
      <c r="A5" s="57" t="s">
        <v>58</v>
      </c>
      <c r="B5" s="58">
        <f>'12'!B18</f>
        <v>723.89000000001397</v>
      </c>
      <c r="C5" s="15"/>
      <c r="D5" s="15"/>
    </row>
    <row r="6" spans="1:4" x14ac:dyDescent="0.25">
      <c r="A6" s="57" t="s">
        <v>105</v>
      </c>
      <c r="B6" s="57"/>
      <c r="C6" s="15"/>
      <c r="D6" s="15"/>
    </row>
    <row r="7" spans="1:4" ht="18" customHeight="1" x14ac:dyDescent="0.25">
      <c r="A7" s="59" t="s">
        <v>106</v>
      </c>
      <c r="B7" s="60">
        <f>-('13'!B13-'13'!C13)</f>
        <v>3129</v>
      </c>
      <c r="C7" s="15"/>
      <c r="D7" s="15"/>
    </row>
    <row r="8" spans="1:4" ht="18.75" customHeight="1" x14ac:dyDescent="0.25">
      <c r="A8" s="59" t="s">
        <v>107</v>
      </c>
      <c r="B8" s="60">
        <f>'13'!B7-'13'!C7</f>
        <v>-7750</v>
      </c>
      <c r="C8" s="15"/>
      <c r="D8" s="15"/>
    </row>
    <row r="9" spans="1:4" ht="21" customHeight="1" x14ac:dyDescent="0.25">
      <c r="A9" s="59" t="s">
        <v>108</v>
      </c>
      <c r="B9" s="60">
        <f>'13'!B8-'13'!C8</f>
        <v>-175.38000000000466</v>
      </c>
      <c r="C9" s="15"/>
      <c r="D9" s="15"/>
    </row>
    <row r="10" spans="1:4" ht="17.25" customHeight="1" x14ac:dyDescent="0.25">
      <c r="A10" s="59" t="s">
        <v>109</v>
      </c>
      <c r="B10" s="60">
        <f>'13'!B9-'13'!C9</f>
        <v>1200</v>
      </c>
      <c r="C10" s="15"/>
      <c r="D10" s="15"/>
    </row>
    <row r="11" spans="1:4" ht="21" customHeight="1" x14ac:dyDescent="0.25">
      <c r="A11" s="59" t="s">
        <v>110</v>
      </c>
      <c r="B11" s="60">
        <f>-('13'!B19-'13'!C19)</f>
        <v>7955.9199999999983</v>
      </c>
      <c r="C11" s="15"/>
      <c r="D11" s="15"/>
    </row>
    <row r="12" spans="1:4" ht="17.25" customHeight="1" x14ac:dyDescent="0.25">
      <c r="A12" s="59" t="s">
        <v>111</v>
      </c>
      <c r="B12" s="60">
        <f>-('13'!B20-'13'!C20)</f>
        <v>2442.1399999999994</v>
      </c>
      <c r="C12" s="15"/>
      <c r="D12" s="15"/>
    </row>
    <row r="13" spans="1:4" ht="20.25" customHeight="1" x14ac:dyDescent="0.25">
      <c r="A13" s="59" t="s">
        <v>112</v>
      </c>
      <c r="B13" s="59">
        <f>-('13'!B22-'13'!C22)</f>
        <v>-3840</v>
      </c>
      <c r="C13" s="15"/>
      <c r="D13" s="15"/>
    </row>
    <row r="14" spans="1:4" ht="20.25" customHeight="1" x14ac:dyDescent="0.25">
      <c r="A14" s="59" t="s">
        <v>173</v>
      </c>
      <c r="B14" s="59">
        <f>'13'!C23-'13'!B23</f>
        <v>370</v>
      </c>
      <c r="C14" s="15"/>
      <c r="D14" s="15"/>
    </row>
    <row r="15" spans="1:4" ht="20.25" customHeight="1" x14ac:dyDescent="0.25">
      <c r="A15" s="59" t="s">
        <v>174</v>
      </c>
      <c r="B15" s="59">
        <f>'13'!C24-'13'!B24</f>
        <v>860.69999999999982</v>
      </c>
      <c r="C15" s="15"/>
      <c r="D15" s="15"/>
    </row>
    <row r="16" spans="1:4" ht="34.5" customHeight="1" x14ac:dyDescent="0.25">
      <c r="A16" s="61" t="s">
        <v>113</v>
      </c>
      <c r="B16" s="62">
        <f>SUM(B5:B15)</f>
        <v>4916.2700000000068</v>
      </c>
      <c r="C16" s="15"/>
      <c r="D16" s="22"/>
    </row>
    <row r="17" spans="1:2" ht="10.5" customHeight="1" x14ac:dyDescent="0.25">
      <c r="A17" s="40"/>
      <c r="B17" s="40"/>
    </row>
    <row r="18" spans="1:2" ht="17.25" x14ac:dyDescent="0.25">
      <c r="A18" s="56" t="s">
        <v>114</v>
      </c>
      <c r="B18" s="56"/>
    </row>
    <row r="19" spans="1:2" ht="35.25" customHeight="1" x14ac:dyDescent="0.25">
      <c r="A19" s="38" t="s">
        <v>115</v>
      </c>
      <c r="B19" s="45">
        <f>'13'!B12-'13'!C12</f>
        <v>-22000</v>
      </c>
    </row>
    <row r="20" spans="1:2" ht="39.75" customHeight="1" x14ac:dyDescent="0.25">
      <c r="A20" s="40" t="s">
        <v>116</v>
      </c>
      <c r="B20" s="44">
        <f>B19</f>
        <v>-22000</v>
      </c>
    </row>
    <row r="21" spans="1:2" ht="6.75" customHeight="1" x14ac:dyDescent="0.25">
      <c r="A21" s="40"/>
      <c r="B21" s="40"/>
    </row>
    <row r="22" spans="1:2" ht="40.5" customHeight="1" x14ac:dyDescent="0.25">
      <c r="A22" s="40" t="s">
        <v>117</v>
      </c>
      <c r="B22" s="40"/>
    </row>
    <row r="23" spans="1:2" ht="20.25" customHeight="1" x14ac:dyDescent="0.25">
      <c r="A23" s="38" t="s">
        <v>118</v>
      </c>
      <c r="B23" s="38">
        <f>'10'!F14</f>
        <v>22000</v>
      </c>
    </row>
    <row r="24" spans="1:2" ht="19.5" customHeight="1" x14ac:dyDescent="0.25">
      <c r="A24" s="38" t="s">
        <v>119</v>
      </c>
      <c r="B24" s="38">
        <f>-'10'!F15</f>
        <v>-5000</v>
      </c>
    </row>
    <row r="25" spans="1:2" ht="38.25" customHeight="1" x14ac:dyDescent="0.25">
      <c r="A25" s="40" t="s">
        <v>120</v>
      </c>
      <c r="B25" s="40">
        <f>SUM(B23:B24)</f>
        <v>17000</v>
      </c>
    </row>
    <row r="26" spans="1:2" ht="9.75" customHeight="1" x14ac:dyDescent="0.25">
      <c r="A26" s="38"/>
      <c r="B26" s="38"/>
    </row>
    <row r="27" spans="1:2" ht="39" customHeight="1" x14ac:dyDescent="0.25">
      <c r="A27" s="42" t="s">
        <v>121</v>
      </c>
      <c r="B27" s="44">
        <f>B16+B20+B25</f>
        <v>-83.729999999992287</v>
      </c>
    </row>
    <row r="28" spans="1:2" ht="21" customHeight="1" x14ac:dyDescent="0.25">
      <c r="A28" s="42" t="s">
        <v>166</v>
      </c>
      <c r="B28" s="38">
        <f>'10'!E19</f>
        <v>9916.2700000000186</v>
      </c>
    </row>
    <row r="29" spans="1:2" ht="22.5" customHeight="1" x14ac:dyDescent="0.25">
      <c r="A29" s="42" t="s">
        <v>167</v>
      </c>
      <c r="B29" s="45">
        <f>'10'!B4</f>
        <v>10000</v>
      </c>
    </row>
  </sheetData>
  <mergeCells count="2">
    <mergeCell ref="A4:B4"/>
    <mergeCell ref="A18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23" sqref="B23"/>
    </sheetView>
  </sheetViews>
  <sheetFormatPr defaultRowHeight="15" x14ac:dyDescent="0.25"/>
  <cols>
    <col min="1" max="1" width="45.7109375" customWidth="1"/>
    <col min="2" max="2" width="23" customWidth="1"/>
    <col min="4" max="4" width="11.7109375" customWidth="1"/>
    <col min="5" max="5" width="9.42578125" bestFit="1" customWidth="1"/>
  </cols>
  <sheetData>
    <row r="1" spans="1:2" x14ac:dyDescent="0.25">
      <c r="A1" s="1" t="s">
        <v>122</v>
      </c>
    </row>
    <row r="2" spans="1:2" x14ac:dyDescent="0.25">
      <c r="A2" s="2" t="s">
        <v>168</v>
      </c>
    </row>
    <row r="3" spans="1:2" x14ac:dyDescent="0.25">
      <c r="A3" s="2"/>
    </row>
    <row r="4" spans="1:2" ht="17.25" x14ac:dyDescent="0.25">
      <c r="A4" s="55" t="s">
        <v>104</v>
      </c>
      <c r="B4" s="55"/>
    </row>
    <row r="5" spans="1:2" ht="18" customHeight="1" x14ac:dyDescent="0.25">
      <c r="A5" s="38" t="s">
        <v>123</v>
      </c>
      <c r="B5" s="39">
        <f>'2'!F8</f>
        <v>327900</v>
      </c>
    </row>
    <row r="6" spans="1:2" ht="18" customHeight="1" x14ac:dyDescent="0.25">
      <c r="A6" s="38" t="s">
        <v>124</v>
      </c>
      <c r="B6" s="39">
        <f>'6'!G4</f>
        <v>193670.57</v>
      </c>
    </row>
    <row r="7" spans="1:2" ht="18" customHeight="1" x14ac:dyDescent="0.25">
      <c r="A7" s="38" t="s">
        <v>125</v>
      </c>
      <c r="B7" s="39">
        <f>'8'!G7</f>
        <v>56717.86</v>
      </c>
    </row>
    <row r="8" spans="1:2" ht="18" customHeight="1" x14ac:dyDescent="0.25">
      <c r="A8" s="38" t="s">
        <v>126</v>
      </c>
      <c r="B8" s="39">
        <v>0</v>
      </c>
    </row>
    <row r="9" spans="1:2" ht="18" customHeight="1" x14ac:dyDescent="0.25">
      <c r="A9" s="38" t="s">
        <v>177</v>
      </c>
      <c r="B9" s="39">
        <f>'8'!G8+'8'!G9</f>
        <v>28145.300000000003</v>
      </c>
    </row>
    <row r="10" spans="1:2" ht="18" customHeight="1" x14ac:dyDescent="0.25">
      <c r="A10" s="38" t="s">
        <v>127</v>
      </c>
      <c r="B10" s="39">
        <f>'8'!G11</f>
        <v>10000</v>
      </c>
    </row>
    <row r="11" spans="1:2" ht="18" customHeight="1" x14ac:dyDescent="0.25">
      <c r="A11" s="38" t="s">
        <v>128</v>
      </c>
      <c r="B11" s="39">
        <f>'8'!G10</f>
        <v>16000</v>
      </c>
    </row>
    <row r="12" spans="1:2" ht="18" customHeight="1" x14ac:dyDescent="0.25">
      <c r="A12" s="38" t="s">
        <v>129</v>
      </c>
      <c r="B12" s="39">
        <f>'11'!E6</f>
        <v>915</v>
      </c>
    </row>
    <row r="13" spans="1:2" ht="18" customHeight="1" x14ac:dyDescent="0.25">
      <c r="A13" s="38" t="s">
        <v>130</v>
      </c>
      <c r="B13" s="39">
        <f>'10'!B18+'10'!E18</f>
        <v>17535</v>
      </c>
    </row>
    <row r="14" spans="1:2" ht="35.25" customHeight="1" x14ac:dyDescent="0.25">
      <c r="A14" s="40" t="s">
        <v>113</v>
      </c>
      <c r="B14" s="41">
        <f>B5-B6-B7-B8-B10-B11-B12-B13-B9</f>
        <v>4916.2699999999895</v>
      </c>
    </row>
    <row r="15" spans="1:2" x14ac:dyDescent="0.25">
      <c r="A15" s="42"/>
      <c r="B15" s="42"/>
    </row>
    <row r="16" spans="1:2" ht="17.25" x14ac:dyDescent="0.25">
      <c r="A16" s="56" t="s">
        <v>131</v>
      </c>
      <c r="B16" s="56"/>
    </row>
    <row r="17" spans="1:5" ht="32.25" customHeight="1" x14ac:dyDescent="0.25">
      <c r="A17" s="38" t="s">
        <v>115</v>
      </c>
      <c r="B17" s="38">
        <f>-'10'!B9</f>
        <v>-22000</v>
      </c>
    </row>
    <row r="18" spans="1:5" ht="37.5" customHeight="1" x14ac:dyDescent="0.25">
      <c r="A18" s="40" t="s">
        <v>116</v>
      </c>
      <c r="B18" s="41">
        <f>B17</f>
        <v>-22000</v>
      </c>
      <c r="E18" s="14"/>
    </row>
    <row r="19" spans="1:5" x14ac:dyDescent="0.25">
      <c r="A19" s="42"/>
      <c r="B19" s="42"/>
    </row>
    <row r="20" spans="1:5" ht="17.25" x14ac:dyDescent="0.25">
      <c r="A20" s="56" t="s">
        <v>132</v>
      </c>
      <c r="B20" s="56"/>
    </row>
    <row r="21" spans="1:5" ht="17.25" customHeight="1" x14ac:dyDescent="0.25">
      <c r="A21" s="38" t="s">
        <v>118</v>
      </c>
      <c r="B21" s="42">
        <f>'10'!F14</f>
        <v>22000</v>
      </c>
    </row>
    <row r="22" spans="1:5" ht="15.75" customHeight="1" x14ac:dyDescent="0.25">
      <c r="A22" s="38" t="s">
        <v>119</v>
      </c>
      <c r="B22" s="42">
        <f>-'10'!F15</f>
        <v>-5000</v>
      </c>
    </row>
    <row r="23" spans="1:5" ht="36.75" customHeight="1" x14ac:dyDescent="0.25">
      <c r="A23" s="40" t="s">
        <v>120</v>
      </c>
      <c r="B23" s="41">
        <f>SUM(B21:B22)</f>
        <v>17000</v>
      </c>
    </row>
    <row r="24" spans="1:5" ht="17.25" x14ac:dyDescent="0.25">
      <c r="A24" s="40"/>
      <c r="B24" s="40"/>
    </row>
    <row r="25" spans="1:5" ht="39.75" customHeight="1" x14ac:dyDescent="0.25">
      <c r="A25" s="40" t="s">
        <v>121</v>
      </c>
      <c r="B25" s="43">
        <f>B14+B18+B23</f>
        <v>-83.730000000010477</v>
      </c>
    </row>
    <row r="26" spans="1:5" ht="36" customHeight="1" x14ac:dyDescent="0.25">
      <c r="A26" s="40" t="s">
        <v>166</v>
      </c>
      <c r="B26" s="44">
        <f>'10'!B4</f>
        <v>10000</v>
      </c>
    </row>
    <row r="27" spans="1:5" ht="39.75" customHeight="1" x14ac:dyDescent="0.25">
      <c r="A27" s="40" t="s">
        <v>167</v>
      </c>
      <c r="B27" s="40">
        <f>'10'!E19</f>
        <v>9916.2700000000186</v>
      </c>
    </row>
  </sheetData>
  <mergeCells count="3">
    <mergeCell ref="A20:B20"/>
    <mergeCell ref="A4:B4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30" zoomScaleNormal="130" workbookViewId="0">
      <selection sqref="A1:XFD1048576"/>
    </sheetView>
  </sheetViews>
  <sheetFormatPr defaultRowHeight="15" x14ac:dyDescent="0.25"/>
  <cols>
    <col min="1" max="1" width="26.7109375" style="15" customWidth="1"/>
    <col min="2" max="3" width="10.7109375" style="15" bestFit="1" customWidth="1"/>
    <col min="4" max="4" width="12" style="15" bestFit="1" customWidth="1"/>
    <col min="5" max="5" width="10.7109375" style="15" bestFit="1" customWidth="1"/>
    <col min="6" max="6" width="15.7109375" style="15" customWidth="1"/>
    <col min="7" max="16384" width="9.140625" style="15"/>
  </cols>
  <sheetData>
    <row r="1" spans="1:6" x14ac:dyDescent="0.25">
      <c r="A1" s="63" t="s">
        <v>13</v>
      </c>
    </row>
    <row r="2" spans="1:6" ht="15.75" thickBot="1" x14ac:dyDescent="0.3">
      <c r="A2" s="64"/>
    </row>
    <row r="3" spans="1:6" ht="30.75" thickBot="1" x14ac:dyDescent="0.3">
      <c r="A3" s="20" t="s">
        <v>14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</row>
    <row r="4" spans="1:6" x14ac:dyDescent="0.25">
      <c r="A4" s="87" t="s">
        <v>15</v>
      </c>
      <c r="B4" s="98">
        <f>'1'!C8</f>
        <v>59500</v>
      </c>
      <c r="C4" s="98">
        <f>'1'!D8</f>
        <v>59500</v>
      </c>
      <c r="D4" s="98">
        <f>'1'!E8</f>
        <v>72250</v>
      </c>
      <c r="E4" s="98">
        <f>'1'!F8</f>
        <v>86900</v>
      </c>
      <c r="F4" s="98">
        <f>SUM(B4:E5)</f>
        <v>278150</v>
      </c>
    </row>
    <row r="5" spans="1:6" ht="15.75" thickBot="1" x14ac:dyDescent="0.3">
      <c r="A5" s="88"/>
      <c r="B5" s="103"/>
      <c r="C5" s="103"/>
      <c r="D5" s="103"/>
      <c r="E5" s="103"/>
      <c r="F5" s="103"/>
    </row>
    <row r="6" spans="1:6" x14ac:dyDescent="0.25">
      <c r="A6" s="87" t="s">
        <v>16</v>
      </c>
      <c r="B6" s="79">
        <f>'1'!B7</f>
        <v>16000</v>
      </c>
      <c r="C6" s="79">
        <f>'1'!C7</f>
        <v>10500</v>
      </c>
      <c r="D6" s="79">
        <f>'1'!D7</f>
        <v>10500</v>
      </c>
      <c r="E6" s="79">
        <f>'1'!E7</f>
        <v>12750</v>
      </c>
      <c r="F6" s="98">
        <f>SUM(B6:E7)</f>
        <v>49750</v>
      </c>
    </row>
    <row r="7" spans="1:6" ht="15.75" thickBot="1" x14ac:dyDescent="0.3">
      <c r="A7" s="88"/>
      <c r="B7" s="46"/>
      <c r="C7" s="46"/>
      <c r="D7" s="46"/>
      <c r="E7" s="46"/>
      <c r="F7" s="103"/>
    </row>
    <row r="8" spans="1:6" x14ac:dyDescent="0.25">
      <c r="A8" s="87" t="s">
        <v>17</v>
      </c>
      <c r="B8" s="105">
        <f>SUM(B4:B7)</f>
        <v>75500</v>
      </c>
      <c r="C8" s="105">
        <f t="shared" ref="C8:E8" si="0">SUM(C4:C7)</f>
        <v>70000</v>
      </c>
      <c r="D8" s="105">
        <f t="shared" si="0"/>
        <v>82750</v>
      </c>
      <c r="E8" s="105">
        <f t="shared" si="0"/>
        <v>99650</v>
      </c>
      <c r="F8" s="98">
        <f>SUM(B8:E9)</f>
        <v>327900</v>
      </c>
    </row>
    <row r="9" spans="1:6" ht="15.75" thickBot="1" x14ac:dyDescent="0.3">
      <c r="A9" s="88"/>
      <c r="B9" s="46"/>
      <c r="C9" s="46"/>
      <c r="D9" s="46"/>
      <c r="E9" s="46"/>
      <c r="F9" s="103"/>
    </row>
    <row r="10" spans="1:6" x14ac:dyDescent="0.25">
      <c r="B10" s="83"/>
      <c r="C10" s="83"/>
      <c r="D10" s="104">
        <f>F8</f>
        <v>327900</v>
      </c>
      <c r="E10" s="83"/>
      <c r="F10" s="83"/>
    </row>
    <row r="11" spans="1:6" x14ac:dyDescent="0.25">
      <c r="A11" s="15" t="s">
        <v>154</v>
      </c>
      <c r="B11" s="83"/>
      <c r="C11" s="83"/>
      <c r="D11" s="83"/>
      <c r="E11" s="83"/>
      <c r="F11" s="83"/>
    </row>
    <row r="12" spans="1:6" x14ac:dyDescent="0.25">
      <c r="B12" s="83"/>
      <c r="C12" s="83"/>
      <c r="D12" s="106">
        <f>'1'!F7</f>
        <v>23750</v>
      </c>
      <c r="E12" s="83"/>
      <c r="F12" s="83"/>
    </row>
    <row r="13" spans="1:6" x14ac:dyDescent="0.25">
      <c r="A13" s="15" t="s">
        <v>155</v>
      </c>
      <c r="B13" s="25"/>
      <c r="C13" s="25"/>
      <c r="D13" s="25"/>
      <c r="E13" s="25"/>
      <c r="F13" s="25"/>
    </row>
    <row r="14" spans="1:6" x14ac:dyDescent="0.25">
      <c r="B14" s="25"/>
      <c r="C14" s="25"/>
      <c r="D14" s="25"/>
      <c r="E14" s="25"/>
      <c r="F14" s="25"/>
    </row>
  </sheetData>
  <mergeCells count="3">
    <mergeCell ref="A6:A7"/>
    <mergeCell ref="A4:A5"/>
    <mergeCell ref="A8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zoomScale="145" zoomScaleNormal="145" workbookViewId="0">
      <selection sqref="A1:XFD1048576"/>
    </sheetView>
  </sheetViews>
  <sheetFormatPr defaultRowHeight="15" x14ac:dyDescent="0.25"/>
  <cols>
    <col min="1" max="1" width="16.7109375" style="15" customWidth="1"/>
    <col min="2" max="7" width="10.7109375" style="15" bestFit="1" customWidth="1"/>
    <col min="8" max="8" width="11.7109375" style="15" bestFit="1" customWidth="1"/>
    <col min="9" max="16384" width="9.140625" style="15"/>
  </cols>
  <sheetData>
    <row r="2" spans="1:10" x14ac:dyDescent="0.25">
      <c r="A2" s="63" t="s">
        <v>18</v>
      </c>
    </row>
    <row r="3" spans="1:10" ht="15.75" thickBot="1" x14ac:dyDescent="0.3">
      <c r="A3" s="64"/>
    </row>
    <row r="4" spans="1:10" ht="45.75" thickBot="1" x14ac:dyDescent="0.3">
      <c r="A4" s="84"/>
      <c r="B4" s="72" t="s">
        <v>5</v>
      </c>
      <c r="C4" s="72" t="s">
        <v>6</v>
      </c>
      <c r="D4" s="72" t="s">
        <v>7</v>
      </c>
      <c r="E4" s="72" t="s">
        <v>8</v>
      </c>
      <c r="F4" s="72" t="s">
        <v>9</v>
      </c>
      <c r="G4" s="72" t="s">
        <v>19</v>
      </c>
      <c r="H4" s="72" t="s">
        <v>20</v>
      </c>
    </row>
    <row r="5" spans="1:10" x14ac:dyDescent="0.25">
      <c r="A5" s="78" t="s">
        <v>21</v>
      </c>
      <c r="B5" s="98">
        <f>'1'!B6</f>
        <v>80000</v>
      </c>
      <c r="C5" s="98">
        <f>'1'!C6</f>
        <v>70000</v>
      </c>
      <c r="D5" s="98">
        <f>'1'!D6</f>
        <v>70000</v>
      </c>
      <c r="E5" s="98">
        <f>'1'!E6</f>
        <v>85000</v>
      </c>
      <c r="F5" s="98">
        <f>'1'!F6</f>
        <v>110650</v>
      </c>
      <c r="G5" s="98">
        <f>'1'!H6</f>
        <v>90000</v>
      </c>
      <c r="H5" s="91">
        <f>C5+D5+E5+F5</f>
        <v>335650</v>
      </c>
      <c r="I5" s="25"/>
      <c r="J5" s="25"/>
    </row>
    <row r="6" spans="1:10" ht="15.75" thickBot="1" x14ac:dyDescent="0.3">
      <c r="A6" s="81"/>
      <c r="B6" s="103"/>
      <c r="C6" s="103"/>
      <c r="D6" s="103"/>
      <c r="E6" s="103"/>
      <c r="F6" s="103"/>
      <c r="G6" s="103"/>
      <c r="H6" s="95"/>
      <c r="I6" s="25"/>
      <c r="J6" s="25"/>
    </row>
    <row r="7" spans="1:10" x14ac:dyDescent="0.25">
      <c r="A7" s="78" t="s">
        <v>22</v>
      </c>
      <c r="B7" s="98">
        <v>48006.13</v>
      </c>
      <c r="C7" s="98">
        <v>42028.82</v>
      </c>
      <c r="D7" s="98">
        <v>42025.89</v>
      </c>
      <c r="E7" s="98">
        <v>50996.4</v>
      </c>
      <c r="F7" s="98">
        <v>66400</v>
      </c>
      <c r="G7" s="98">
        <v>54022.98</v>
      </c>
      <c r="H7" s="98">
        <f>C7+D7+E7+F7</f>
        <v>201451.11</v>
      </c>
      <c r="I7" s="25"/>
      <c r="J7" s="25"/>
    </row>
    <row r="8" spans="1:10" ht="15.75" thickBot="1" x14ac:dyDescent="0.3">
      <c r="A8" s="81"/>
      <c r="B8" s="103"/>
      <c r="C8" s="103"/>
      <c r="D8" s="103"/>
      <c r="E8" s="103"/>
      <c r="F8" s="103"/>
      <c r="G8" s="103"/>
      <c r="H8" s="103"/>
      <c r="I8" s="25"/>
      <c r="J8" s="25"/>
    </row>
    <row r="9" spans="1:10" x14ac:dyDescent="0.25">
      <c r="B9" s="25"/>
      <c r="C9" s="25"/>
      <c r="D9" s="25"/>
      <c r="E9" s="104">
        <f>H7</f>
        <v>201451.11</v>
      </c>
      <c r="F9" s="25"/>
      <c r="G9" s="25"/>
      <c r="H9" s="25"/>
      <c r="I9" s="25"/>
      <c r="J9" s="25"/>
    </row>
    <row r="10" spans="1:10" x14ac:dyDescent="0.25">
      <c r="A10" s="15" t="s">
        <v>156</v>
      </c>
      <c r="B10" s="25"/>
      <c r="C10" s="25"/>
      <c r="D10" s="25"/>
      <c r="E10" s="25"/>
      <c r="F10" s="25"/>
      <c r="G10" s="25"/>
      <c r="H10" s="25"/>
      <c r="I10" s="25"/>
      <c r="J10" s="25"/>
    </row>
  </sheetData>
  <mergeCells count="3">
    <mergeCell ref="H5:H6"/>
    <mergeCell ref="A7:A8"/>
    <mergeCell ref="A5:A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145" zoomScaleNormal="145" workbookViewId="0">
      <selection sqref="A1:XFD1048576"/>
    </sheetView>
  </sheetViews>
  <sheetFormatPr defaultRowHeight="15" x14ac:dyDescent="0.25"/>
  <cols>
    <col min="1" max="1" width="24.42578125" style="15" customWidth="1"/>
    <col min="2" max="2" width="11.85546875" style="15" customWidth="1"/>
    <col min="3" max="3" width="13.28515625" style="15" customWidth="1"/>
    <col min="4" max="4" width="13.42578125" style="15" customWidth="1"/>
    <col min="5" max="5" width="13.140625" style="15" customWidth="1"/>
    <col min="6" max="7" width="10.7109375" style="15" bestFit="1" customWidth="1"/>
    <col min="8" max="16384" width="9.140625" style="15"/>
  </cols>
  <sheetData>
    <row r="1" spans="1:8" x14ac:dyDescent="0.25">
      <c r="A1" s="63" t="s">
        <v>23</v>
      </c>
      <c r="B1" s="63"/>
    </row>
    <row r="2" spans="1:8" ht="15.75" thickBot="1" x14ac:dyDescent="0.3"/>
    <row r="3" spans="1:8" ht="15.75" thickBot="1" x14ac:dyDescent="0.3">
      <c r="A3" s="20" t="s">
        <v>141</v>
      </c>
      <c r="B3" s="21" t="s">
        <v>143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</row>
    <row r="4" spans="1:8" x14ac:dyDescent="0.25">
      <c r="A4" s="78" t="s">
        <v>24</v>
      </c>
      <c r="B4" s="91">
        <v>40000</v>
      </c>
      <c r="C4" s="91">
        <v>40000</v>
      </c>
      <c r="D4" s="91">
        <v>40000</v>
      </c>
      <c r="E4" s="91">
        <v>40000</v>
      </c>
      <c r="F4" s="91">
        <v>40000</v>
      </c>
      <c r="G4" s="91">
        <v>40000</v>
      </c>
      <c r="H4" s="92"/>
    </row>
    <row r="5" spans="1:8" x14ac:dyDescent="0.25">
      <c r="A5" s="93"/>
      <c r="B5" s="94"/>
      <c r="C5" s="94"/>
      <c r="D5" s="94"/>
      <c r="E5" s="94"/>
      <c r="F5" s="94"/>
      <c r="G5" s="94"/>
      <c r="H5" s="92"/>
    </row>
    <row r="6" spans="1:8" ht="15.75" thickBot="1" x14ac:dyDescent="0.3">
      <c r="A6" s="81"/>
      <c r="B6" s="95"/>
      <c r="C6" s="95"/>
      <c r="D6" s="95"/>
      <c r="E6" s="95"/>
      <c r="F6" s="95"/>
      <c r="G6" s="95"/>
      <c r="H6" s="92"/>
    </row>
    <row r="7" spans="1:8" x14ac:dyDescent="0.25">
      <c r="A7" s="87" t="s">
        <v>25</v>
      </c>
      <c r="B7" s="91">
        <f>0.8*'3'!B7:B8</f>
        <v>38404.904000000002</v>
      </c>
      <c r="C7" s="91">
        <f>0.8*'3'!C7:C8</f>
        <v>33623.056000000004</v>
      </c>
      <c r="D7" s="91">
        <f>0.8*'3'!D7:D8</f>
        <v>33620.712</v>
      </c>
      <c r="E7" s="91">
        <f>0.8*'3'!E7:E8</f>
        <v>40797.120000000003</v>
      </c>
      <c r="F7" s="91">
        <f>0.8*'3'!F7:F8</f>
        <v>53120</v>
      </c>
      <c r="G7" s="91">
        <f>0.8*'3'!G7:G8</f>
        <v>43218.384000000005</v>
      </c>
      <c r="H7" s="92"/>
    </row>
    <row r="8" spans="1:8" x14ac:dyDescent="0.25">
      <c r="A8" s="96"/>
      <c r="B8" s="94"/>
      <c r="C8" s="94"/>
      <c r="D8" s="94"/>
      <c r="E8" s="94"/>
      <c r="F8" s="94"/>
      <c r="G8" s="94"/>
      <c r="H8" s="92"/>
    </row>
    <row r="9" spans="1:8" ht="15.75" thickBot="1" x14ac:dyDescent="0.3">
      <c r="A9" s="88"/>
      <c r="B9" s="95"/>
      <c r="C9" s="95"/>
      <c r="D9" s="95"/>
      <c r="E9" s="95"/>
      <c r="F9" s="95"/>
      <c r="G9" s="95"/>
      <c r="H9" s="92"/>
    </row>
    <row r="10" spans="1:8" x14ac:dyDescent="0.25">
      <c r="A10" s="87" t="s">
        <v>26</v>
      </c>
      <c r="B10" s="97">
        <v>78400</v>
      </c>
      <c r="C10" s="97">
        <v>73628.67</v>
      </c>
      <c r="D10" s="97">
        <v>73599.839999999997</v>
      </c>
      <c r="E10" s="97">
        <v>80778.649999999994</v>
      </c>
      <c r="F10" s="98">
        <v>85603.65</v>
      </c>
      <c r="G10" s="98">
        <v>73804.05</v>
      </c>
      <c r="H10" s="92"/>
    </row>
    <row r="11" spans="1:8" x14ac:dyDescent="0.25">
      <c r="A11" s="96"/>
      <c r="B11" s="99"/>
      <c r="C11" s="100"/>
      <c r="D11" s="100"/>
      <c r="E11" s="100"/>
      <c r="F11" s="100"/>
      <c r="G11" s="100"/>
      <c r="H11" s="92"/>
    </row>
    <row r="12" spans="1:8" ht="15.75" thickBot="1" x14ac:dyDescent="0.3">
      <c r="A12" s="88"/>
      <c r="B12" s="101"/>
      <c r="C12" s="102"/>
      <c r="D12" s="102"/>
      <c r="E12" s="102"/>
      <c r="F12" s="102"/>
      <c r="G12" s="102"/>
      <c r="H12" s="92"/>
    </row>
    <row r="13" spans="1:8" x14ac:dyDescent="0.25">
      <c r="B13" s="25"/>
      <c r="C13" s="25"/>
      <c r="D13" s="25"/>
      <c r="E13" s="25"/>
      <c r="F13" s="25"/>
      <c r="G13" s="25"/>
      <c r="H13" s="25"/>
    </row>
    <row r="14" spans="1:8" x14ac:dyDescent="0.25">
      <c r="B14" s="25"/>
      <c r="C14" s="25"/>
      <c r="D14" s="86">
        <f>G10</f>
        <v>73804.05</v>
      </c>
      <c r="E14" s="25"/>
      <c r="F14" s="25"/>
      <c r="G14" s="25"/>
      <c r="H14" s="25"/>
    </row>
    <row r="15" spans="1:8" x14ac:dyDescent="0.25">
      <c r="A15" s="15" t="s">
        <v>157</v>
      </c>
    </row>
  </sheetData>
  <mergeCells count="15">
    <mergeCell ref="A10:A12"/>
    <mergeCell ref="G4:G6"/>
    <mergeCell ref="A7:A9"/>
    <mergeCell ref="C7:C9"/>
    <mergeCell ref="D7:D9"/>
    <mergeCell ref="E7:E9"/>
    <mergeCell ref="F7:F9"/>
    <mergeCell ref="G7:G9"/>
    <mergeCell ref="A4:A6"/>
    <mergeCell ref="C4:C6"/>
    <mergeCell ref="D4:D6"/>
    <mergeCell ref="E4:E6"/>
    <mergeCell ref="F4:F6"/>
    <mergeCell ref="B4:B6"/>
    <mergeCell ref="B7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zoomScale="145" zoomScaleNormal="145" workbookViewId="0">
      <selection activeCell="D18" sqref="D18"/>
    </sheetView>
  </sheetViews>
  <sheetFormatPr defaultRowHeight="15" x14ac:dyDescent="0.25"/>
  <cols>
    <col min="1" max="1" width="17.5703125" style="15" customWidth="1"/>
    <col min="2" max="2" width="10.85546875" style="15" customWidth="1"/>
    <col min="3" max="4" width="11.42578125" style="15" bestFit="1" customWidth="1"/>
    <col min="5" max="5" width="10.85546875" style="15" customWidth="1"/>
    <col min="6" max="7" width="9.140625" style="15"/>
    <col min="8" max="8" width="11.85546875" style="15" customWidth="1"/>
    <col min="9" max="16384" width="9.140625" style="15"/>
  </cols>
  <sheetData>
    <row r="2" spans="1:8" x14ac:dyDescent="0.25">
      <c r="A2" s="63" t="s">
        <v>27</v>
      </c>
      <c r="B2" s="63"/>
    </row>
    <row r="3" spans="1:8" ht="15.75" thickBot="1" x14ac:dyDescent="0.3"/>
    <row r="4" spans="1:8" ht="45.75" thickBot="1" x14ac:dyDescent="0.3">
      <c r="A4" s="20" t="s">
        <v>28</v>
      </c>
      <c r="B4" s="72" t="s">
        <v>143</v>
      </c>
      <c r="C4" s="72" t="s">
        <v>5</v>
      </c>
      <c r="D4" s="72" t="s">
        <v>6</v>
      </c>
      <c r="E4" s="72" t="s">
        <v>7</v>
      </c>
      <c r="F4" s="72" t="s">
        <v>8</v>
      </c>
      <c r="G4" s="72" t="s">
        <v>9</v>
      </c>
      <c r="H4" s="72" t="s">
        <v>10</v>
      </c>
    </row>
    <row r="5" spans="1:8" x14ac:dyDescent="0.25">
      <c r="A5" s="87" t="s">
        <v>26</v>
      </c>
      <c r="B5" s="89">
        <f>'4'!B10</f>
        <v>78400</v>
      </c>
      <c r="C5" s="90">
        <f>'4'!C10</f>
        <v>73628.67</v>
      </c>
      <c r="D5" s="90">
        <f>'4'!D10</f>
        <v>73599.839999999997</v>
      </c>
      <c r="E5" s="79">
        <f>'4'!E10</f>
        <v>80778.649999999994</v>
      </c>
      <c r="F5" s="79">
        <f>'4'!F10</f>
        <v>85603.65</v>
      </c>
      <c r="G5" s="79">
        <f>'4'!G10</f>
        <v>73804.05</v>
      </c>
      <c r="H5" s="79"/>
    </row>
    <row r="6" spans="1:8" ht="15.75" thickBot="1" x14ac:dyDescent="0.3">
      <c r="A6" s="88"/>
      <c r="B6" s="46"/>
      <c r="C6" s="46"/>
      <c r="D6" s="46"/>
      <c r="E6" s="46"/>
      <c r="F6" s="46"/>
      <c r="G6" s="46"/>
      <c r="H6" s="46"/>
    </row>
    <row r="7" spans="1:8" x14ac:dyDescent="0.25">
      <c r="A7" s="87" t="s">
        <v>29</v>
      </c>
      <c r="B7" s="79"/>
      <c r="C7" s="79">
        <f>'3'!B7</f>
        <v>48006.13</v>
      </c>
      <c r="D7" s="79">
        <f>'3'!C7</f>
        <v>42028.82</v>
      </c>
      <c r="E7" s="79">
        <f>'3'!D7</f>
        <v>42025.89</v>
      </c>
      <c r="F7" s="79">
        <f>'3'!E7:E8</f>
        <v>50996.4</v>
      </c>
      <c r="G7" s="79">
        <f>'3'!F7:F8</f>
        <v>66400</v>
      </c>
      <c r="H7" s="79">
        <f t="shared" ref="H7" si="0">SUM(D7:G7)</f>
        <v>201451.11</v>
      </c>
    </row>
    <row r="8" spans="1:8" ht="15.75" thickBot="1" x14ac:dyDescent="0.3">
      <c r="A8" s="88"/>
      <c r="B8" s="46"/>
      <c r="C8" s="46"/>
      <c r="D8" s="46"/>
      <c r="E8" s="46"/>
      <c r="F8" s="46"/>
      <c r="G8" s="46"/>
      <c r="H8" s="46"/>
    </row>
    <row r="9" spans="1:8" x14ac:dyDescent="0.25">
      <c r="A9" s="87" t="s">
        <v>30</v>
      </c>
      <c r="B9" s="79"/>
      <c r="C9" s="79">
        <f>B5</f>
        <v>78400</v>
      </c>
      <c r="D9" s="79">
        <f>C5</f>
        <v>73628.67</v>
      </c>
      <c r="E9" s="79">
        <f t="shared" ref="E9:G9" si="1">D5</f>
        <v>73599.839999999997</v>
      </c>
      <c r="F9" s="79">
        <f t="shared" si="1"/>
        <v>80778.649999999994</v>
      </c>
      <c r="G9" s="79">
        <f t="shared" si="1"/>
        <v>85603.65</v>
      </c>
      <c r="H9" s="79"/>
    </row>
    <row r="10" spans="1:8" ht="15.75" thickBot="1" x14ac:dyDescent="0.3">
      <c r="A10" s="88"/>
      <c r="B10" s="46"/>
      <c r="C10" s="46"/>
      <c r="D10" s="46"/>
      <c r="E10" s="46"/>
      <c r="F10" s="46"/>
      <c r="G10" s="46"/>
      <c r="H10" s="46"/>
    </row>
    <row r="11" spans="1:8" x14ac:dyDescent="0.25">
      <c r="A11" s="87" t="s">
        <v>31</v>
      </c>
      <c r="B11" s="79"/>
      <c r="C11" s="79">
        <v>43234.8</v>
      </c>
      <c r="D11" s="79">
        <f t="shared" ref="D11:G11" si="2">D7+D5-D9</f>
        <v>41999.990000000005</v>
      </c>
      <c r="E11" s="79">
        <f t="shared" si="2"/>
        <v>49204.7</v>
      </c>
      <c r="F11" s="79">
        <f t="shared" si="2"/>
        <v>55821.399999999994</v>
      </c>
      <c r="G11" s="79">
        <f t="shared" si="2"/>
        <v>54600.399999999994</v>
      </c>
      <c r="H11" s="79">
        <f>SUM(D11:G11)</f>
        <v>201626.49</v>
      </c>
    </row>
    <row r="12" spans="1:8" ht="15.75" thickBot="1" x14ac:dyDescent="0.3">
      <c r="A12" s="88"/>
      <c r="B12" s="46"/>
      <c r="C12" s="46"/>
      <c r="D12" s="46"/>
      <c r="E12" s="46"/>
      <c r="F12" s="46"/>
      <c r="G12" s="46"/>
      <c r="H12" s="46"/>
    </row>
    <row r="13" spans="1:8" x14ac:dyDescent="0.25">
      <c r="B13" s="83"/>
      <c r="C13" s="83"/>
      <c r="D13" s="83"/>
      <c r="E13" s="83"/>
      <c r="F13" s="83">
        <f>H11</f>
        <v>201626.49</v>
      </c>
      <c r="G13" s="83"/>
      <c r="H13" s="83"/>
    </row>
    <row r="14" spans="1:8" x14ac:dyDescent="0.25">
      <c r="A14" s="15" t="s">
        <v>142</v>
      </c>
    </row>
    <row r="17" spans="6:6" x14ac:dyDescent="0.25">
      <c r="F17" s="15">
        <f>F9+F11-F7-F5</f>
        <v>0</v>
      </c>
    </row>
  </sheetData>
  <mergeCells count="4">
    <mergeCell ref="A5:A6"/>
    <mergeCell ref="A7:A8"/>
    <mergeCell ref="A11:A12"/>
    <mergeCell ref="A9:A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45" zoomScaleNormal="145" workbookViewId="0">
      <selection sqref="A1:XFD1048576"/>
    </sheetView>
  </sheetViews>
  <sheetFormatPr defaultRowHeight="15" x14ac:dyDescent="0.25"/>
  <cols>
    <col min="1" max="1" width="19.85546875" style="15" customWidth="1"/>
    <col min="2" max="2" width="11.140625" style="15" customWidth="1"/>
    <col min="3" max="6" width="9.140625" style="15"/>
    <col min="7" max="7" width="11.85546875" style="15" customWidth="1"/>
    <col min="8" max="16384" width="9.140625" style="15"/>
  </cols>
  <sheetData>
    <row r="1" spans="1:8" x14ac:dyDescent="0.25">
      <c r="A1" s="63" t="s">
        <v>32</v>
      </c>
      <c r="B1" s="63"/>
    </row>
    <row r="2" spans="1:8" ht="15.75" thickBot="1" x14ac:dyDescent="0.3"/>
    <row r="3" spans="1:8" ht="45.75" thickBot="1" x14ac:dyDescent="0.3">
      <c r="A3" s="20" t="s">
        <v>33</v>
      </c>
      <c r="B3" s="72" t="s">
        <v>5</v>
      </c>
      <c r="C3" s="72" t="s">
        <v>6</v>
      </c>
      <c r="D3" s="72" t="s">
        <v>7</v>
      </c>
      <c r="E3" s="72" t="s">
        <v>8</v>
      </c>
      <c r="F3" s="72" t="s">
        <v>9</v>
      </c>
      <c r="G3" s="72" t="s">
        <v>34</v>
      </c>
      <c r="H3" s="83"/>
    </row>
    <row r="4" spans="1:8" ht="30.75" thickBot="1" x14ac:dyDescent="0.3">
      <c r="A4" s="18" t="s">
        <v>35</v>
      </c>
      <c r="B4" s="32"/>
      <c r="C4" s="85">
        <f>SUM(C5:C7)</f>
        <v>42864.357000000004</v>
      </c>
      <c r="D4" s="85">
        <f>SUM(D5:D7)</f>
        <v>44161.402999999998</v>
      </c>
      <c r="E4" s="85">
        <f>SUM(E5:E7)</f>
        <v>51189.709999999992</v>
      </c>
      <c r="F4" s="85">
        <f t="shared" ref="F4" si="0">SUM(F5:F7)</f>
        <v>55455.099999999991</v>
      </c>
      <c r="G4" s="85">
        <f>SUM(C4:F4)</f>
        <v>193670.57</v>
      </c>
      <c r="H4" s="83"/>
    </row>
    <row r="5" spans="1:8" x14ac:dyDescent="0.25">
      <c r="A5" s="87" t="s">
        <v>144</v>
      </c>
      <c r="B5" s="79"/>
      <c r="C5" s="79">
        <f>0.7*'5'!C11</f>
        <v>30264.36</v>
      </c>
      <c r="D5" s="79">
        <f>0.7*'5'!D11</f>
        <v>29399.993000000002</v>
      </c>
      <c r="E5" s="79">
        <f>0.7*'5'!E11</f>
        <v>34443.289999999994</v>
      </c>
      <c r="F5" s="79">
        <f>0.7*'5'!F11</f>
        <v>39074.979999999996</v>
      </c>
      <c r="G5" s="79">
        <f>SUM(C5:F5)</f>
        <v>133182.62299999999</v>
      </c>
      <c r="H5" s="83"/>
    </row>
    <row r="6" spans="1:8" ht="15.75" thickBot="1" x14ac:dyDescent="0.3">
      <c r="A6" s="88"/>
      <c r="B6" s="46"/>
      <c r="C6" s="46"/>
      <c r="D6" s="46"/>
      <c r="E6" s="46"/>
      <c r="F6" s="46"/>
      <c r="G6" s="46"/>
      <c r="H6" s="83"/>
    </row>
    <row r="7" spans="1:8" x14ac:dyDescent="0.25">
      <c r="A7" s="87" t="s">
        <v>145</v>
      </c>
      <c r="B7" s="79">
        <f>0.3*'5'!C11</f>
        <v>12970.44</v>
      </c>
      <c r="C7" s="79">
        <f>0.3*'5'!D11</f>
        <v>12599.997000000001</v>
      </c>
      <c r="D7" s="79">
        <f>0.3*'5'!E11</f>
        <v>14761.409999999998</v>
      </c>
      <c r="E7" s="79">
        <f>0.3*'5'!F11</f>
        <v>16746.419999999998</v>
      </c>
      <c r="F7" s="79">
        <f>0.3*'5'!G11</f>
        <v>16380.119999999997</v>
      </c>
      <c r="G7" s="79">
        <f>SUM(C7:F7)</f>
        <v>60487.946999999993</v>
      </c>
      <c r="H7" s="83"/>
    </row>
    <row r="8" spans="1:8" ht="15.75" thickBot="1" x14ac:dyDescent="0.3">
      <c r="A8" s="88"/>
      <c r="B8" s="46"/>
      <c r="C8" s="46"/>
      <c r="D8" s="46"/>
      <c r="E8" s="46"/>
      <c r="F8" s="46"/>
      <c r="G8" s="46"/>
      <c r="H8" s="83"/>
    </row>
    <row r="9" spans="1:8" x14ac:dyDescent="0.25">
      <c r="B9" s="83"/>
      <c r="C9" s="83"/>
      <c r="D9" s="83"/>
      <c r="E9" s="83"/>
      <c r="F9" s="83">
        <f>G4</f>
        <v>193670.57</v>
      </c>
      <c r="G9" s="83"/>
      <c r="H9" s="83"/>
    </row>
    <row r="10" spans="1:8" x14ac:dyDescent="0.25">
      <c r="A10" s="15" t="s">
        <v>150</v>
      </c>
      <c r="B10" s="83"/>
      <c r="C10" s="83"/>
      <c r="D10" s="83"/>
      <c r="E10" s="83"/>
      <c r="F10" s="83"/>
      <c r="G10" s="83"/>
      <c r="H10" s="83"/>
    </row>
    <row r="11" spans="1:8" x14ac:dyDescent="0.25">
      <c r="B11" s="83"/>
      <c r="C11" s="83"/>
      <c r="D11" s="83"/>
      <c r="E11" s="86">
        <f>'5'!G11-F7</f>
        <v>38220.28</v>
      </c>
      <c r="F11" s="83"/>
      <c r="G11" s="83"/>
      <c r="H11" s="83"/>
    </row>
    <row r="12" spans="1:8" x14ac:dyDescent="0.25">
      <c r="A12" s="15" t="s">
        <v>151</v>
      </c>
      <c r="B12" s="83"/>
      <c r="C12" s="83"/>
      <c r="D12" s="83"/>
      <c r="E12" s="83"/>
      <c r="F12" s="83"/>
      <c r="G12" s="83"/>
      <c r="H12" s="83"/>
    </row>
    <row r="13" spans="1:8" x14ac:dyDescent="0.25">
      <c r="B13" s="25"/>
      <c r="C13" s="25"/>
      <c r="D13" s="25"/>
      <c r="E13" s="25"/>
      <c r="F13" s="25"/>
      <c r="G13" s="25"/>
      <c r="H13" s="25"/>
    </row>
  </sheetData>
  <mergeCells count="2">
    <mergeCell ref="A5:A6"/>
    <mergeCell ref="A7:A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30" zoomScaleNormal="130" workbookViewId="0">
      <selection sqref="A1:XFD1048576"/>
    </sheetView>
  </sheetViews>
  <sheetFormatPr defaultRowHeight="15" x14ac:dyDescent="0.25"/>
  <cols>
    <col min="1" max="1" width="23" style="15" customWidth="1"/>
    <col min="2" max="2" width="13.7109375" style="15" customWidth="1"/>
    <col min="3" max="16384" width="9.140625" style="15"/>
  </cols>
  <sheetData>
    <row r="1" spans="1:9" ht="15.75" thickBot="1" x14ac:dyDescent="0.3">
      <c r="A1" s="63" t="s">
        <v>36</v>
      </c>
    </row>
    <row r="2" spans="1:9" ht="45.75" thickBot="1" x14ac:dyDescent="0.3">
      <c r="A2" s="84"/>
      <c r="B2" s="72" t="s">
        <v>5</v>
      </c>
      <c r="C2" s="72" t="s">
        <v>6</v>
      </c>
      <c r="D2" s="72" t="s">
        <v>7</v>
      </c>
      <c r="E2" s="72" t="s">
        <v>8</v>
      </c>
      <c r="F2" s="72" t="s">
        <v>9</v>
      </c>
      <c r="G2" s="72" t="s">
        <v>37</v>
      </c>
      <c r="H2" s="83"/>
    </row>
    <row r="3" spans="1:9" ht="38.25" customHeight="1" thickBot="1" x14ac:dyDescent="0.3">
      <c r="A3" s="46" t="s">
        <v>38</v>
      </c>
      <c r="B3" s="34">
        <v>1800</v>
      </c>
      <c r="C3" s="34">
        <v>1800</v>
      </c>
      <c r="D3" s="34">
        <v>1800</v>
      </c>
      <c r="E3" s="34">
        <v>1800</v>
      </c>
      <c r="F3" s="34">
        <v>1800</v>
      </c>
      <c r="G3" s="34">
        <f t="shared" ref="G3:G8" si="0">SUM(C3:F3)</f>
        <v>7200</v>
      </c>
      <c r="H3" s="83"/>
    </row>
    <row r="4" spans="1:9" ht="53.25" customHeight="1" thickBot="1" x14ac:dyDescent="0.3">
      <c r="A4" s="46" t="s">
        <v>148</v>
      </c>
      <c r="B4" s="32">
        <f>0.19*'1'!B6</f>
        <v>15200</v>
      </c>
      <c r="C4" s="32">
        <f>0.19*'1'!C6</f>
        <v>13300</v>
      </c>
      <c r="D4" s="32">
        <f>0.19*'1'!D6</f>
        <v>13300</v>
      </c>
      <c r="E4" s="32">
        <f>0.19*'1'!E6</f>
        <v>16150</v>
      </c>
      <c r="F4" s="32">
        <v>18050</v>
      </c>
      <c r="G4" s="34">
        <f t="shared" si="0"/>
        <v>60800</v>
      </c>
      <c r="H4" s="83"/>
    </row>
    <row r="5" spans="1:9" ht="15.75" thickBot="1" x14ac:dyDescent="0.3">
      <c r="A5" s="46" t="s">
        <v>39</v>
      </c>
      <c r="B5" s="34">
        <f>B3+B4</f>
        <v>17000</v>
      </c>
      <c r="C5" s="34">
        <f t="shared" ref="C5:F5" si="1">C3+C4</f>
        <v>15100</v>
      </c>
      <c r="D5" s="34">
        <f t="shared" si="1"/>
        <v>15100</v>
      </c>
      <c r="E5" s="34">
        <f>E3+E4</f>
        <v>17950</v>
      </c>
      <c r="F5" s="34">
        <f t="shared" si="1"/>
        <v>19850</v>
      </c>
      <c r="G5" s="34">
        <f>SUM(C5:F5)</f>
        <v>68000</v>
      </c>
      <c r="H5" s="83"/>
    </row>
    <row r="6" spans="1:9" ht="53.25" customHeight="1" thickBot="1" x14ac:dyDescent="0.3">
      <c r="A6" s="84" t="s">
        <v>169</v>
      </c>
      <c r="B6" s="72">
        <v>2210</v>
      </c>
      <c r="C6" s="72">
        <f>117+1846</f>
        <v>1963</v>
      </c>
      <c r="D6" s="72">
        <v>1963</v>
      </c>
      <c r="E6" s="72">
        <v>2334</v>
      </c>
      <c r="F6" s="72">
        <v>2580</v>
      </c>
      <c r="G6" s="34">
        <f t="shared" si="0"/>
        <v>8840</v>
      </c>
      <c r="H6" s="83"/>
      <c r="I6" s="22"/>
    </row>
    <row r="7" spans="1:9" ht="30.75" thickBot="1" x14ac:dyDescent="0.3">
      <c r="A7" s="84" t="s">
        <v>171</v>
      </c>
      <c r="B7" s="72"/>
      <c r="C7" s="72">
        <v>4560.2</v>
      </c>
      <c r="D7" s="72">
        <v>4560.2</v>
      </c>
      <c r="E7" s="72">
        <v>5420.9</v>
      </c>
      <c r="F7" s="72">
        <v>5994.7</v>
      </c>
      <c r="G7" s="34">
        <f t="shared" si="0"/>
        <v>20536</v>
      </c>
    </row>
    <row r="8" spans="1:9" ht="35.25" customHeight="1" thickBot="1" x14ac:dyDescent="0.3">
      <c r="A8" s="46" t="s">
        <v>40</v>
      </c>
      <c r="B8" s="32"/>
      <c r="C8" s="32">
        <f>0.05*'1'!C6</f>
        <v>3500</v>
      </c>
      <c r="D8" s="32">
        <f>0.05*'1'!D6</f>
        <v>3500</v>
      </c>
      <c r="E8" s="32">
        <f>0.05*'1'!E6</f>
        <v>4250</v>
      </c>
      <c r="F8" s="32">
        <v>4750</v>
      </c>
      <c r="G8" s="34">
        <f t="shared" si="0"/>
        <v>16000</v>
      </c>
      <c r="H8" s="83"/>
    </row>
    <row r="9" spans="1:9" ht="15.75" thickBot="1" x14ac:dyDescent="0.3">
      <c r="A9" s="46" t="s">
        <v>149</v>
      </c>
      <c r="B9" s="32"/>
      <c r="C9" s="32">
        <v>2500</v>
      </c>
      <c r="D9" s="32">
        <v>2500</v>
      </c>
      <c r="E9" s="32">
        <v>2500</v>
      </c>
      <c r="F9" s="32">
        <v>2500</v>
      </c>
      <c r="G9" s="34">
        <f t="shared" ref="G9:G10" si="2">SUM(C9:F9)</f>
        <v>10000</v>
      </c>
      <c r="H9" s="83"/>
    </row>
    <row r="10" spans="1:9" ht="15.75" thickBot="1" x14ac:dyDescent="0.3">
      <c r="A10" s="46" t="s">
        <v>146</v>
      </c>
      <c r="B10" s="32"/>
      <c r="C10" s="32">
        <v>300</v>
      </c>
      <c r="D10" s="32">
        <v>300</v>
      </c>
      <c r="E10" s="32">
        <v>300</v>
      </c>
      <c r="F10" s="32">
        <v>300</v>
      </c>
      <c r="G10" s="34">
        <f t="shared" si="2"/>
        <v>1200</v>
      </c>
      <c r="H10" s="83"/>
    </row>
    <row r="11" spans="1:9" ht="15.75" thickBot="1" x14ac:dyDescent="0.3">
      <c r="A11" s="46" t="s">
        <v>42</v>
      </c>
      <c r="B11" s="32"/>
      <c r="C11" s="85">
        <v>516</v>
      </c>
      <c r="D11" s="85">
        <v>871</v>
      </c>
      <c r="E11" s="85">
        <v>871</v>
      </c>
      <c r="F11" s="85">
        <v>871</v>
      </c>
      <c r="G11" s="34">
        <f>SUM(C11:F11)</f>
        <v>3129</v>
      </c>
      <c r="H11" s="83"/>
    </row>
    <row r="12" spans="1:9" ht="15.75" thickBot="1" x14ac:dyDescent="0.3">
      <c r="A12" s="46" t="s">
        <v>43</v>
      </c>
      <c r="B12" s="32"/>
      <c r="C12" s="34">
        <f>SUM(C5:C11)-C6</f>
        <v>26476.2</v>
      </c>
      <c r="D12" s="34">
        <f t="shared" ref="D12:E12" si="3">SUM(D5:D11)-D6</f>
        <v>26831.200000000001</v>
      </c>
      <c r="E12" s="34">
        <f t="shared" si="3"/>
        <v>31291.9</v>
      </c>
      <c r="F12" s="34">
        <f>SUM(F5:F11)-F6</f>
        <v>34265.699999999997</v>
      </c>
      <c r="G12" s="34">
        <f>SUM(C12:F12)</f>
        <v>118865</v>
      </c>
      <c r="H12" s="83"/>
      <c r="I12" s="22"/>
    </row>
    <row r="13" spans="1:9" x14ac:dyDescent="0.25">
      <c r="A13" s="83"/>
      <c r="B13" s="83"/>
      <c r="C13" s="83"/>
      <c r="D13" s="83"/>
      <c r="E13" s="86">
        <f>G12</f>
        <v>118865</v>
      </c>
      <c r="F13" s="83"/>
      <c r="G13" s="83"/>
      <c r="H13" s="83"/>
    </row>
    <row r="14" spans="1:9" x14ac:dyDescent="0.25">
      <c r="A14" s="83" t="s">
        <v>147</v>
      </c>
      <c r="B14" s="83"/>
      <c r="C14" s="83"/>
      <c r="D14" s="83"/>
      <c r="E14" s="83"/>
      <c r="F14" s="83"/>
      <c r="G14" s="83"/>
      <c r="H14" s="83"/>
    </row>
    <row r="17" spans="2:7" x14ac:dyDescent="0.25">
      <c r="B17" s="22"/>
      <c r="C17" s="22"/>
      <c r="D17" s="22"/>
      <c r="E17" s="22"/>
      <c r="F17" s="22"/>
      <c r="G17" s="22"/>
    </row>
    <row r="19" spans="2:7" x14ac:dyDescent="0.25">
      <c r="C19" s="22"/>
      <c r="E19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30" zoomScaleNormal="130" workbookViewId="0">
      <selection activeCell="G19" sqref="G19"/>
    </sheetView>
  </sheetViews>
  <sheetFormatPr defaultRowHeight="15" x14ac:dyDescent="0.25"/>
  <cols>
    <col min="1" max="1" width="27.140625" style="15" customWidth="1"/>
    <col min="2" max="2" width="12.7109375" style="15" customWidth="1"/>
    <col min="3" max="3" width="14.7109375" style="15" customWidth="1"/>
    <col min="4" max="4" width="14.28515625" style="15" customWidth="1"/>
    <col min="5" max="5" width="12.85546875" style="15" customWidth="1"/>
    <col min="6" max="6" width="12.7109375" style="15" customWidth="1"/>
    <col min="7" max="7" width="13" style="15" customWidth="1"/>
    <col min="8" max="16384" width="9.140625" style="15"/>
  </cols>
  <sheetData>
    <row r="1" spans="1:8" x14ac:dyDescent="0.25">
      <c r="A1" s="63" t="s">
        <v>44</v>
      </c>
      <c r="B1" s="63"/>
    </row>
    <row r="2" spans="1:8" ht="15.75" thickBot="1" x14ac:dyDescent="0.3">
      <c r="A2" s="15" t="s">
        <v>45</v>
      </c>
    </row>
    <row r="3" spans="1:8" ht="32.25" customHeight="1" thickBot="1" x14ac:dyDescent="0.3">
      <c r="A3" s="20" t="s">
        <v>46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34</v>
      </c>
    </row>
    <row r="4" spans="1:8" x14ac:dyDescent="0.25">
      <c r="A4" s="78" t="s">
        <v>133</v>
      </c>
      <c r="B4" s="79"/>
      <c r="C4" s="78">
        <v>14007</v>
      </c>
      <c r="D4" s="78">
        <v>12354</v>
      </c>
      <c r="E4" s="80">
        <v>12390.86</v>
      </c>
      <c r="F4" s="80">
        <v>14833</v>
      </c>
      <c r="G4" s="78">
        <f>SUM(C4:F5)</f>
        <v>53584.86</v>
      </c>
    </row>
    <row r="5" spans="1:8" ht="19.5" customHeight="1" thickBot="1" x14ac:dyDescent="0.3">
      <c r="A5" s="81"/>
      <c r="B5" s="46"/>
      <c r="C5" s="81"/>
      <c r="D5" s="81"/>
      <c r="E5" s="82"/>
      <c r="F5" s="82"/>
      <c r="G5" s="81"/>
      <c r="H5" s="22"/>
    </row>
    <row r="6" spans="1:8" ht="30.75" thickBot="1" x14ac:dyDescent="0.3">
      <c r="A6" s="46" t="s">
        <v>134</v>
      </c>
      <c r="B6" s="32">
        <v>783</v>
      </c>
      <c r="C6" s="32">
        <v>783</v>
      </c>
      <c r="D6" s="32">
        <v>746.14</v>
      </c>
      <c r="E6" s="32">
        <v>783</v>
      </c>
      <c r="F6" s="32">
        <v>820.86</v>
      </c>
      <c r="G6" s="32">
        <f t="shared" ref="G6:G11" si="0">SUM(C6:F6)</f>
        <v>3133</v>
      </c>
    </row>
    <row r="7" spans="1:8" ht="30.75" thickBot="1" x14ac:dyDescent="0.3">
      <c r="A7" s="46" t="s">
        <v>135</v>
      </c>
      <c r="B7" s="32"/>
      <c r="C7" s="32">
        <f>SUM(C4:C6)</f>
        <v>14790</v>
      </c>
      <c r="D7" s="32">
        <f>SUM(D4:D6)</f>
        <v>13100.14</v>
      </c>
      <c r="E7" s="67">
        <f>SUM(E4:E6)</f>
        <v>13173.86</v>
      </c>
      <c r="F7" s="32">
        <f t="shared" ref="F7" si="1">SUM(F4:F6)</f>
        <v>15653.86</v>
      </c>
      <c r="G7" s="32">
        <f t="shared" si="0"/>
        <v>56717.86</v>
      </c>
    </row>
    <row r="8" spans="1:8" ht="15.75" thickBot="1" x14ac:dyDescent="0.3">
      <c r="A8" s="46" t="s">
        <v>170</v>
      </c>
      <c r="B8" s="32"/>
      <c r="C8" s="32">
        <f>'7'!B6</f>
        <v>2210</v>
      </c>
      <c r="D8" s="32">
        <f>'7'!C6</f>
        <v>1963</v>
      </c>
      <c r="E8" s="32">
        <f>'7'!D6</f>
        <v>1963</v>
      </c>
      <c r="F8" s="32">
        <f>'7'!E6</f>
        <v>2334</v>
      </c>
      <c r="G8" s="32">
        <f t="shared" si="0"/>
        <v>8470</v>
      </c>
    </row>
    <row r="9" spans="1:8" ht="15.75" thickBot="1" x14ac:dyDescent="0.3">
      <c r="A9" s="46" t="s">
        <v>172</v>
      </c>
      <c r="B9" s="32"/>
      <c r="C9" s="32">
        <f>493+3740+867+34</f>
        <v>5134</v>
      </c>
      <c r="D9" s="32">
        <f>437.9+3322+770.1+30.2</f>
        <v>4560.2</v>
      </c>
      <c r="E9" s="32">
        <f>437.9+3322+770.1+30.2</f>
        <v>4560.2</v>
      </c>
      <c r="F9" s="32">
        <f>520.55+915.45+35.9+3949</f>
        <v>5420.9</v>
      </c>
      <c r="G9" s="32">
        <f t="shared" si="0"/>
        <v>19675.300000000003</v>
      </c>
    </row>
    <row r="10" spans="1:8" ht="17.25" customHeight="1" thickBot="1" x14ac:dyDescent="0.3">
      <c r="A10" s="46" t="s">
        <v>136</v>
      </c>
      <c r="B10" s="32"/>
      <c r="C10" s="32">
        <f>'7'!C8</f>
        <v>3500</v>
      </c>
      <c r="D10" s="32">
        <f>'7'!D8</f>
        <v>3500</v>
      </c>
      <c r="E10" s="32">
        <f>'7'!E8</f>
        <v>4250</v>
      </c>
      <c r="F10" s="32">
        <f>'7'!F8</f>
        <v>4750</v>
      </c>
      <c r="G10" s="32">
        <f t="shared" si="0"/>
        <v>16000</v>
      </c>
    </row>
    <row r="11" spans="1:8" ht="15.75" thickBot="1" x14ac:dyDescent="0.3">
      <c r="A11" s="46" t="s">
        <v>149</v>
      </c>
      <c r="B11" s="32"/>
      <c r="C11" s="32">
        <f>'7'!C9</f>
        <v>2500</v>
      </c>
      <c r="D11" s="32">
        <f>'7'!D9</f>
        <v>2500</v>
      </c>
      <c r="E11" s="32">
        <f>'7'!E9</f>
        <v>2500</v>
      </c>
      <c r="F11" s="32">
        <f>'7'!F9</f>
        <v>2500</v>
      </c>
      <c r="G11" s="32">
        <f t="shared" si="0"/>
        <v>10000</v>
      </c>
    </row>
    <row r="12" spans="1:8" ht="30.75" thickBot="1" x14ac:dyDescent="0.3">
      <c r="A12" s="46" t="s">
        <v>137</v>
      </c>
      <c r="B12" s="32"/>
      <c r="C12" s="32">
        <f>SUM(C7:C11)</f>
        <v>28134</v>
      </c>
      <c r="D12" s="32">
        <f t="shared" ref="D12:E12" si="2">SUM(D7:D11)</f>
        <v>25623.34</v>
      </c>
      <c r="E12" s="32">
        <f t="shared" si="2"/>
        <v>26447.06</v>
      </c>
      <c r="F12" s="32">
        <f>SUM(F7:F11)</f>
        <v>30658.760000000002</v>
      </c>
      <c r="G12" s="32">
        <f>SUM(C12:F12)</f>
        <v>110863.16</v>
      </c>
    </row>
    <row r="13" spans="1:8" x14ac:dyDescent="0.25">
      <c r="A13" s="83"/>
      <c r="B13" s="83"/>
      <c r="C13" s="83"/>
      <c r="D13" s="83">
        <f>G12</f>
        <v>110863.16</v>
      </c>
      <c r="E13" s="83"/>
      <c r="F13" s="83"/>
      <c r="G13" s="83"/>
    </row>
    <row r="14" spans="1:8" x14ac:dyDescent="0.25">
      <c r="A14" s="83" t="s">
        <v>158</v>
      </c>
      <c r="B14" s="83"/>
      <c r="C14" s="83"/>
      <c r="D14" s="83"/>
      <c r="E14" s="83"/>
      <c r="F14" s="83"/>
      <c r="G14" s="83"/>
    </row>
    <row r="17" spans="2:3" x14ac:dyDescent="0.25">
      <c r="B17" s="22"/>
      <c r="C17" s="22"/>
    </row>
  </sheetData>
  <mergeCells count="6">
    <mergeCell ref="G4:G5"/>
    <mergeCell ref="A4:A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115" zoomScaleNormal="115" workbookViewId="0">
      <selection activeCell="B7" sqref="B7"/>
    </sheetView>
  </sheetViews>
  <sheetFormatPr defaultRowHeight="15" x14ac:dyDescent="0.25"/>
  <cols>
    <col min="1" max="1" width="51.28515625" customWidth="1"/>
    <col min="2" max="2" width="25.140625" customWidth="1"/>
  </cols>
  <sheetData>
    <row r="1" spans="1:2" x14ac:dyDescent="0.25">
      <c r="A1" s="1" t="s">
        <v>47</v>
      </c>
    </row>
    <row r="2" spans="1:2" x14ac:dyDescent="0.25">
      <c r="A2" s="7" t="s">
        <v>161</v>
      </c>
    </row>
    <row r="3" spans="1:2" ht="15.75" thickBot="1" x14ac:dyDescent="0.3">
      <c r="A3" s="8"/>
    </row>
    <row r="4" spans="1:2" ht="25.5" customHeight="1" thickBot="1" x14ac:dyDescent="0.3">
      <c r="A4" s="9" t="s">
        <v>48</v>
      </c>
      <c r="B4" s="27">
        <f>'1'!G6</f>
        <v>335650</v>
      </c>
    </row>
    <row r="5" spans="1:2" ht="27.75" customHeight="1" thickBot="1" x14ac:dyDescent="0.3">
      <c r="A5" s="5" t="s">
        <v>49</v>
      </c>
      <c r="B5" s="28">
        <f>'3'!H7</f>
        <v>201451.11</v>
      </c>
    </row>
    <row r="6" spans="1:2" ht="18.75" customHeight="1" thickBot="1" x14ac:dyDescent="0.3">
      <c r="A6" s="10" t="s">
        <v>50</v>
      </c>
      <c r="B6" s="28">
        <f>B4-B5</f>
        <v>134198.89000000001</v>
      </c>
    </row>
    <row r="7" spans="1:2" ht="24" customHeight="1" thickBot="1" x14ac:dyDescent="0.3">
      <c r="A7" s="11" t="s">
        <v>51</v>
      </c>
      <c r="B7" s="29">
        <f>SUM(B8:B13)</f>
        <v>118865</v>
      </c>
    </row>
    <row r="8" spans="1:2" ht="22.5" customHeight="1" thickBot="1" x14ac:dyDescent="0.3">
      <c r="A8" s="12" t="s">
        <v>52</v>
      </c>
      <c r="B8" s="29">
        <f>'7'!G5</f>
        <v>68000</v>
      </c>
    </row>
    <row r="9" spans="1:2" ht="15.75" thickBot="1" x14ac:dyDescent="0.3">
      <c r="A9" s="12" t="s">
        <v>146</v>
      </c>
      <c r="B9" s="29">
        <f>'7'!G10</f>
        <v>1200</v>
      </c>
    </row>
    <row r="10" spans="1:2" ht="15.75" thickBot="1" x14ac:dyDescent="0.3">
      <c r="A10" s="12" t="s">
        <v>41</v>
      </c>
      <c r="B10" s="29">
        <f>'7'!G9</f>
        <v>10000</v>
      </c>
    </row>
    <row r="11" spans="1:2" ht="15.75" thickBot="1" x14ac:dyDescent="0.3">
      <c r="A11" s="12" t="s">
        <v>53</v>
      </c>
      <c r="B11" s="29">
        <f>'7'!G8</f>
        <v>16000</v>
      </c>
    </row>
    <row r="12" spans="1:2" ht="15.75" thickBot="1" x14ac:dyDescent="0.3">
      <c r="A12" s="12" t="s">
        <v>42</v>
      </c>
      <c r="B12" s="29">
        <f>'7'!G11</f>
        <v>3129</v>
      </c>
    </row>
    <row r="13" spans="1:2" ht="15.75" thickBot="1" x14ac:dyDescent="0.3">
      <c r="A13" s="12" t="s">
        <v>175</v>
      </c>
      <c r="B13" s="29">
        <f>'7'!G7</f>
        <v>20536</v>
      </c>
    </row>
    <row r="14" spans="1:2" ht="24" customHeight="1" thickBot="1" x14ac:dyDescent="0.3">
      <c r="A14" s="10" t="s">
        <v>54</v>
      </c>
      <c r="B14" s="28">
        <f>B6-B7</f>
        <v>15333.890000000014</v>
      </c>
    </row>
    <row r="15" spans="1:2" ht="17.25" customHeight="1" thickBot="1" x14ac:dyDescent="0.3">
      <c r="A15" s="5" t="s">
        <v>55</v>
      </c>
      <c r="B15" s="28"/>
    </row>
    <row r="16" spans="1:2" ht="24" customHeight="1" thickBot="1" x14ac:dyDescent="0.3">
      <c r="A16" s="10" t="s">
        <v>56</v>
      </c>
      <c r="B16" s="28"/>
    </row>
    <row r="17" spans="1:2" ht="24" customHeight="1" thickBot="1" x14ac:dyDescent="0.3">
      <c r="A17" s="5" t="s">
        <v>57</v>
      </c>
      <c r="B17" s="24"/>
    </row>
    <row r="18" spans="1:2" ht="23.25" customHeight="1" thickBot="1" x14ac:dyDescent="0.3">
      <c r="A18" s="10" t="s">
        <v>58</v>
      </c>
      <c r="B18" s="6"/>
    </row>
    <row r="20" spans="1:2" x14ac:dyDescent="0.25">
      <c r="A20" t="s">
        <v>159</v>
      </c>
    </row>
    <row r="21" spans="1:2" x14ac:dyDescent="0.25">
      <c r="A21" t="s">
        <v>160</v>
      </c>
    </row>
    <row r="22" spans="1:2" x14ac:dyDescent="0.25">
      <c r="A2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rukprav</dc:creator>
  <cp:lastModifiedBy>Бесчастнова Екатерина Геннадиевна</cp:lastModifiedBy>
  <dcterms:created xsi:type="dcterms:W3CDTF">2019-11-05T13:41:03Z</dcterms:created>
  <dcterms:modified xsi:type="dcterms:W3CDTF">2024-06-06T14:29:16Z</dcterms:modified>
</cp:coreProperties>
</file>